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 firstSheet="8" activeTab="12"/>
  </bookViews>
  <sheets>
    <sheet name="ENERO-15" sheetId="2" r:id="rId1"/>
    <sheet name="FEBRERO-15" sheetId="5" r:id="rId2"/>
    <sheet name="MARZO-15" sheetId="6" r:id="rId3"/>
    <sheet name="ABRIL-15" sheetId="7" r:id="rId4"/>
    <sheet name="MAYO-15" sheetId="8" r:id="rId5"/>
    <sheet name="JUNIO-15" sheetId="9" r:id="rId6"/>
    <sheet name="JULIO-15" sheetId="10" r:id="rId7"/>
    <sheet name="AGOSTO-15" sheetId="11" r:id="rId8"/>
    <sheet name="SETIEMBRE-15" sheetId="12" r:id="rId9"/>
    <sheet name="OCTUBRE-15" sheetId="13" r:id="rId10"/>
    <sheet name="NOVIEMBRE-15" sheetId="14" r:id="rId11"/>
    <sheet name="DICIEMBRE-15" sheetId="15" r:id="rId12"/>
    <sheet name="Resumen" sheetId="16" r:id="rId13"/>
  </sheets>
  <externalReferences>
    <externalReference r:id="rId14"/>
  </externalReferences>
  <definedNames>
    <definedName name="_xlnm.Print_Titles" localSheetId="11">'DICIEMBRE-15'!#REF!</definedName>
    <definedName name="_xlnm.Print_Titles" localSheetId="1">'FEBRERO-15'!#REF!</definedName>
    <definedName name="_xlnm.Print_Titles" localSheetId="2">'MARZO-15'!#REF!</definedName>
    <definedName name="_xlnm.Print_Titles" localSheetId="10">'NOVIEMBRE-15'!#REF!</definedName>
    <definedName name="_xlnm.Print_Titles" localSheetId="12">Resumen!$1:$9</definedName>
  </definedNames>
  <calcPr calcId="125725"/>
</workbook>
</file>

<file path=xl/calcChain.xml><?xml version="1.0" encoding="utf-8"?>
<calcChain xmlns="http://schemas.openxmlformats.org/spreadsheetml/2006/main">
  <c r="M75" i="16"/>
  <c r="C62"/>
  <c r="E62"/>
  <c r="F62"/>
  <c r="G62"/>
  <c r="H62"/>
  <c r="I62"/>
  <c r="J62"/>
  <c r="K62"/>
  <c r="L62"/>
  <c r="P62"/>
  <c r="C63"/>
  <c r="E63"/>
  <c r="F63"/>
  <c r="G63"/>
  <c r="H63"/>
  <c r="I63"/>
  <c r="J63"/>
  <c r="K63"/>
  <c r="L63"/>
  <c r="P63"/>
  <c r="C64"/>
  <c r="E64"/>
  <c r="F64"/>
  <c r="G64"/>
  <c r="H64"/>
  <c r="I64"/>
  <c r="J64"/>
  <c r="K64"/>
  <c r="L64"/>
  <c r="P64"/>
  <c r="C65"/>
  <c r="E65"/>
  <c r="F65"/>
  <c r="G65"/>
  <c r="H65"/>
  <c r="I65"/>
  <c r="J65"/>
  <c r="K65"/>
  <c r="L65"/>
  <c r="P65"/>
  <c r="C66"/>
  <c r="E66"/>
  <c r="F66"/>
  <c r="G66"/>
  <c r="H66"/>
  <c r="I66"/>
  <c r="J66"/>
  <c r="K66"/>
  <c r="L66"/>
  <c r="P66"/>
  <c r="C67"/>
  <c r="E67"/>
  <c r="F67"/>
  <c r="G67"/>
  <c r="H67"/>
  <c r="I67"/>
  <c r="J67"/>
  <c r="K67"/>
  <c r="L67"/>
  <c r="P67"/>
  <c r="C68"/>
  <c r="E68"/>
  <c r="F68"/>
  <c r="G68"/>
  <c r="H68"/>
  <c r="I68"/>
  <c r="J68"/>
  <c r="K68"/>
  <c r="L68"/>
  <c r="P68"/>
  <c r="C69"/>
  <c r="E69"/>
  <c r="F69"/>
  <c r="G69"/>
  <c r="H69"/>
  <c r="I69"/>
  <c r="J69"/>
  <c r="K69"/>
  <c r="L69"/>
  <c r="P69"/>
  <c r="C70"/>
  <c r="E70"/>
  <c r="F70"/>
  <c r="G70"/>
  <c r="H70"/>
  <c r="I70"/>
  <c r="J70"/>
  <c r="K70"/>
  <c r="L70"/>
  <c r="P70"/>
  <c r="C14"/>
  <c r="D14"/>
  <c r="E14"/>
  <c r="F14"/>
  <c r="G14"/>
  <c r="H14"/>
  <c r="I14"/>
  <c r="J14"/>
  <c r="K14"/>
  <c r="L14"/>
  <c r="P14"/>
  <c r="C18"/>
  <c r="E18"/>
  <c r="F18"/>
  <c r="G18"/>
  <c r="H18"/>
  <c r="I18"/>
  <c r="J18"/>
  <c r="K18"/>
  <c r="L18"/>
  <c r="P18"/>
  <c r="C19"/>
  <c r="E19"/>
  <c r="F19"/>
  <c r="G19"/>
  <c r="H19"/>
  <c r="I19"/>
  <c r="J19"/>
  <c r="K19"/>
  <c r="L19"/>
  <c r="P19"/>
  <c r="C23"/>
  <c r="E23"/>
  <c r="F23"/>
  <c r="G23"/>
  <c r="H23"/>
  <c r="I23"/>
  <c r="J23"/>
  <c r="K23"/>
  <c r="L23"/>
  <c r="P23"/>
  <c r="C24"/>
  <c r="D24"/>
  <c r="E24"/>
  <c r="F24"/>
  <c r="G24"/>
  <c r="H24"/>
  <c r="I24"/>
  <c r="J24"/>
  <c r="K24"/>
  <c r="L24"/>
  <c r="P24"/>
  <c r="C29"/>
  <c r="E29"/>
  <c r="F29"/>
  <c r="G29"/>
  <c r="H29"/>
  <c r="I29"/>
  <c r="J29"/>
  <c r="K29"/>
  <c r="L29"/>
  <c r="P29"/>
  <c r="C30"/>
  <c r="E30"/>
  <c r="F30"/>
  <c r="G30"/>
  <c r="H30"/>
  <c r="I30"/>
  <c r="J30"/>
  <c r="L30"/>
  <c r="P30"/>
  <c r="C31"/>
  <c r="E31"/>
  <c r="F31"/>
  <c r="G31"/>
  <c r="H31"/>
  <c r="I31"/>
  <c r="J31"/>
  <c r="K31"/>
  <c r="L31"/>
  <c r="P31"/>
  <c r="C32"/>
  <c r="E32"/>
  <c r="F32"/>
  <c r="G32"/>
  <c r="H32"/>
  <c r="I32"/>
  <c r="J32"/>
  <c r="K32"/>
  <c r="L32"/>
  <c r="P32"/>
  <c r="C36"/>
  <c r="E36"/>
  <c r="F36"/>
  <c r="G36"/>
  <c r="H36"/>
  <c r="I36"/>
  <c r="J36"/>
  <c r="K36"/>
  <c r="L36"/>
  <c r="P36"/>
  <c r="C37"/>
  <c r="E37"/>
  <c r="F37"/>
  <c r="G37"/>
  <c r="H37"/>
  <c r="I37"/>
  <c r="J37"/>
  <c r="K37"/>
  <c r="L37"/>
  <c r="P37"/>
  <c r="C38"/>
  <c r="E38"/>
  <c r="F38"/>
  <c r="G38"/>
  <c r="H38"/>
  <c r="I38"/>
  <c r="J38"/>
  <c r="K38"/>
  <c r="L38"/>
  <c r="P38"/>
  <c r="C47"/>
  <c r="D47"/>
  <c r="E47"/>
  <c r="F47"/>
  <c r="G47"/>
  <c r="H47"/>
  <c r="I47"/>
  <c r="J47"/>
  <c r="K47"/>
  <c r="L47"/>
  <c r="P47"/>
  <c r="C48"/>
  <c r="D48"/>
  <c r="E48"/>
  <c r="F48"/>
  <c r="G48"/>
  <c r="H48"/>
  <c r="I48"/>
  <c r="J48"/>
  <c r="K48"/>
  <c r="L48"/>
  <c r="P48"/>
  <c r="C49"/>
  <c r="D49"/>
  <c r="E49"/>
  <c r="F49"/>
  <c r="G49"/>
  <c r="H49"/>
  <c r="I49"/>
  <c r="J49"/>
  <c r="K49"/>
  <c r="L49"/>
  <c r="P49"/>
  <c r="C50"/>
  <c r="E50"/>
  <c r="F50"/>
  <c r="G50"/>
  <c r="H50"/>
  <c r="I50"/>
  <c r="J50"/>
  <c r="K50"/>
  <c r="L50"/>
  <c r="P50"/>
  <c r="C43"/>
  <c r="C44" s="1"/>
  <c r="E43"/>
  <c r="E44" s="1"/>
  <c r="F43"/>
  <c r="F44" s="1"/>
  <c r="G43"/>
  <c r="G44" s="1"/>
  <c r="H43"/>
  <c r="H44" s="1"/>
  <c r="I43"/>
  <c r="I44" s="1"/>
  <c r="J43"/>
  <c r="J44" s="1"/>
  <c r="K43"/>
  <c r="K44" s="1"/>
  <c r="L43"/>
  <c r="L44" s="1"/>
  <c r="P43"/>
  <c r="P44" s="1"/>
  <c r="C55"/>
  <c r="E55"/>
  <c r="F55"/>
  <c r="G55"/>
  <c r="H55"/>
  <c r="I55"/>
  <c r="J55"/>
  <c r="K55"/>
  <c r="L55"/>
  <c r="P55"/>
  <c r="C56"/>
  <c r="E56"/>
  <c r="F56"/>
  <c r="G56"/>
  <c r="H56"/>
  <c r="I56"/>
  <c r="J56"/>
  <c r="K56"/>
  <c r="L56"/>
  <c r="P56"/>
  <c r="C57"/>
  <c r="E57"/>
  <c r="F57"/>
  <c r="G57"/>
  <c r="H57"/>
  <c r="I57"/>
  <c r="J57"/>
  <c r="K57"/>
  <c r="L57"/>
  <c r="P57"/>
  <c r="C58"/>
  <c r="E58"/>
  <c r="F58"/>
  <c r="G58"/>
  <c r="H58"/>
  <c r="I58"/>
  <c r="J58"/>
  <c r="K58"/>
  <c r="L58"/>
  <c r="P58"/>
  <c r="C59"/>
  <c r="E59"/>
  <c r="F59"/>
  <c r="G59"/>
  <c r="H59"/>
  <c r="I59"/>
  <c r="J59"/>
  <c r="K59"/>
  <c r="L59"/>
  <c r="P59"/>
  <c r="C60"/>
  <c r="E60"/>
  <c r="F60"/>
  <c r="G60"/>
  <c r="H60"/>
  <c r="I60"/>
  <c r="J60"/>
  <c r="K60"/>
  <c r="L60"/>
  <c r="P60"/>
  <c r="C61"/>
  <c r="E61"/>
  <c r="F61"/>
  <c r="G61"/>
  <c r="H61"/>
  <c r="I61"/>
  <c r="J61"/>
  <c r="K61"/>
  <c r="L61"/>
  <c r="P61"/>
  <c r="C13"/>
  <c r="C15" s="1"/>
  <c r="D13"/>
  <c r="D15" s="1"/>
  <c r="E13"/>
  <c r="E15" s="1"/>
  <c r="F13"/>
  <c r="F15" s="1"/>
  <c r="G13"/>
  <c r="G15" s="1"/>
  <c r="H13"/>
  <c r="H15" s="1"/>
  <c r="I13"/>
  <c r="I15" s="1"/>
  <c r="J13"/>
  <c r="J15" s="1"/>
  <c r="K13"/>
  <c r="K15" s="1"/>
  <c r="L13"/>
  <c r="L15" s="1"/>
  <c r="P13"/>
  <c r="P15" s="1"/>
  <c r="K71" l="1"/>
  <c r="K73" s="1"/>
  <c r="I71"/>
  <c r="I73" s="1"/>
  <c r="G71"/>
  <c r="G73" s="1"/>
  <c r="E71"/>
  <c r="E73" s="1"/>
  <c r="C71"/>
  <c r="C73" s="1"/>
  <c r="P71"/>
  <c r="P73" s="1"/>
  <c r="L71"/>
  <c r="L73" s="1"/>
  <c r="J71"/>
  <c r="J73" s="1"/>
  <c r="H71"/>
  <c r="H73" s="1"/>
  <c r="F71"/>
  <c r="F73" s="1"/>
  <c r="P51"/>
  <c r="L51"/>
  <c r="J51"/>
  <c r="H51"/>
  <c r="F51"/>
  <c r="K51"/>
  <c r="I51"/>
  <c r="G51"/>
  <c r="E51"/>
  <c r="C51"/>
  <c r="K39"/>
  <c r="I39"/>
  <c r="G39"/>
  <c r="E39"/>
  <c r="C39"/>
  <c r="P39"/>
  <c r="L39"/>
  <c r="J39"/>
  <c r="H39"/>
  <c r="F39"/>
  <c r="P33"/>
  <c r="L33"/>
  <c r="J33"/>
  <c r="H33"/>
  <c r="F33"/>
  <c r="I33"/>
  <c r="G33"/>
  <c r="E33"/>
  <c r="C33"/>
  <c r="K25"/>
  <c r="I25"/>
  <c r="G25"/>
  <c r="E25"/>
  <c r="C25"/>
  <c r="P25"/>
  <c r="L25"/>
  <c r="J25"/>
  <c r="H25"/>
  <c r="F25"/>
  <c r="P20"/>
  <c r="L20"/>
  <c r="J20"/>
  <c r="H20"/>
  <c r="F20"/>
  <c r="K20"/>
  <c r="I20"/>
  <c r="G20"/>
  <c r="E20"/>
  <c r="C20"/>
  <c r="F34" i="15"/>
  <c r="F30"/>
  <c r="F28"/>
  <c r="F25"/>
  <c r="O25" s="1"/>
  <c r="P25" s="1"/>
  <c r="F24"/>
  <c r="O24" s="1"/>
  <c r="P24" s="1"/>
  <c r="F20"/>
  <c r="F21"/>
  <c r="O21" s="1"/>
  <c r="P21" s="1"/>
  <c r="Q21" s="1"/>
  <c r="F18"/>
  <c r="F17"/>
  <c r="D50" i="16" s="1"/>
  <c r="D51" s="1"/>
  <c r="F13" i="15"/>
  <c r="F10"/>
  <c r="F9"/>
  <c r="O9" s="1"/>
  <c r="P9" s="1"/>
  <c r="V9" s="1"/>
  <c r="F8"/>
  <c r="M8"/>
  <c r="K30" i="16" s="1"/>
  <c r="K33" s="1"/>
  <c r="F7" i="15"/>
  <c r="O7" s="1"/>
  <c r="F12"/>
  <c r="O12" s="1"/>
  <c r="P12" s="1"/>
  <c r="Q12" s="1"/>
  <c r="S12" s="1"/>
  <c r="O34"/>
  <c r="P34" s="1"/>
  <c r="Q34" s="1"/>
  <c r="S34" s="1"/>
  <c r="O30"/>
  <c r="P30" s="1"/>
  <c r="O28"/>
  <c r="O20"/>
  <c r="P20" s="1"/>
  <c r="V17"/>
  <c r="V18"/>
  <c r="O13"/>
  <c r="P13" s="1"/>
  <c r="Q13" s="1"/>
  <c r="S13" s="1"/>
  <c r="O10"/>
  <c r="P10" s="1"/>
  <c r="O3"/>
  <c r="V2"/>
  <c r="O2"/>
  <c r="P2" s="1"/>
  <c r="F34" i="14"/>
  <c r="O34" s="1"/>
  <c r="P34" s="1"/>
  <c r="F28"/>
  <c r="O28" s="1"/>
  <c r="P28" s="1"/>
  <c r="F25"/>
  <c r="O25" s="1"/>
  <c r="P25" s="1"/>
  <c r="F24"/>
  <c r="F20"/>
  <c r="O20" s="1"/>
  <c r="P20" s="1"/>
  <c r="F21"/>
  <c r="O21" s="1"/>
  <c r="F13"/>
  <c r="O13" s="1"/>
  <c r="P13" s="1"/>
  <c r="F10"/>
  <c r="O10" s="1"/>
  <c r="P10" s="1"/>
  <c r="F9"/>
  <c r="O9" s="1"/>
  <c r="P9" s="1"/>
  <c r="F8"/>
  <c r="O8" s="1"/>
  <c r="P8" s="1"/>
  <c r="F7"/>
  <c r="F11"/>
  <c r="O11" s="1"/>
  <c r="F30"/>
  <c r="O30" s="1"/>
  <c r="P30" s="1"/>
  <c r="V17"/>
  <c r="O17"/>
  <c r="V18"/>
  <c r="O18"/>
  <c r="O12"/>
  <c r="P12" s="1"/>
  <c r="V2"/>
  <c r="O2"/>
  <c r="O3"/>
  <c r="V32" i="13"/>
  <c r="F32"/>
  <c r="F27"/>
  <c r="O27" s="1"/>
  <c r="P27" s="1"/>
  <c r="F25"/>
  <c r="O25" s="1"/>
  <c r="P25" s="1"/>
  <c r="F24"/>
  <c r="F33"/>
  <c r="O33" s="1"/>
  <c r="P33" s="1"/>
  <c r="V31"/>
  <c r="F31"/>
  <c r="F29"/>
  <c r="F30"/>
  <c r="F26"/>
  <c r="O26" s="1"/>
  <c r="P26" s="1"/>
  <c r="F28"/>
  <c r="O28" s="1"/>
  <c r="P28" s="1"/>
  <c r="V23"/>
  <c r="F23"/>
  <c r="F20"/>
  <c r="V19"/>
  <c r="F19"/>
  <c r="V17"/>
  <c r="V18"/>
  <c r="F11"/>
  <c r="F10"/>
  <c r="F9"/>
  <c r="F8"/>
  <c r="O8" s="1"/>
  <c r="P8" s="1"/>
  <c r="F7"/>
  <c r="V4"/>
  <c r="O32"/>
  <c r="P32" s="1"/>
  <c r="O24"/>
  <c r="P24" s="1"/>
  <c r="O22"/>
  <c r="P22" s="1"/>
  <c r="O21"/>
  <c r="O34"/>
  <c r="P34" s="1"/>
  <c r="O31"/>
  <c r="P31" s="1"/>
  <c r="O29"/>
  <c r="P29" s="1"/>
  <c r="V29" s="1"/>
  <c r="O30"/>
  <c r="P30" s="1"/>
  <c r="V30" s="1"/>
  <c r="O23"/>
  <c r="P23" s="1"/>
  <c r="O19"/>
  <c r="P19" s="1"/>
  <c r="O17"/>
  <c r="O18"/>
  <c r="O13"/>
  <c r="P13" s="1"/>
  <c r="O12"/>
  <c r="P12" s="1"/>
  <c r="O11"/>
  <c r="O10"/>
  <c r="P10" s="1"/>
  <c r="O9"/>
  <c r="P9" s="1"/>
  <c r="O4"/>
  <c r="P4" s="1"/>
  <c r="O3"/>
  <c r="O1"/>
  <c r="V32" i="12"/>
  <c r="F32"/>
  <c r="O32" s="1"/>
  <c r="P32" s="1"/>
  <c r="F27"/>
  <c r="O27" s="1"/>
  <c r="P27" s="1"/>
  <c r="F25"/>
  <c r="F24"/>
  <c r="O24" s="1"/>
  <c r="P24" s="1"/>
  <c r="F22"/>
  <c r="O22" s="1"/>
  <c r="P22" s="1"/>
  <c r="F21"/>
  <c r="F34"/>
  <c r="O34" s="1"/>
  <c r="P34" s="1"/>
  <c r="F33"/>
  <c r="V31"/>
  <c r="F31"/>
  <c r="O31" s="1"/>
  <c r="P31" s="1"/>
  <c r="F26"/>
  <c r="O26" s="1"/>
  <c r="P26" s="1"/>
  <c r="F28"/>
  <c r="V23"/>
  <c r="F23"/>
  <c r="O23" s="1"/>
  <c r="P23" s="1"/>
  <c r="F20"/>
  <c r="V17"/>
  <c r="V18"/>
  <c r="F11"/>
  <c r="F10"/>
  <c r="F9"/>
  <c r="O9" s="1"/>
  <c r="P9" s="1"/>
  <c r="F8"/>
  <c r="O8" s="1"/>
  <c r="P8" s="1"/>
  <c r="F7"/>
  <c r="V4"/>
  <c r="F4"/>
  <c r="O25"/>
  <c r="P25" s="1"/>
  <c r="O33"/>
  <c r="P33" s="1"/>
  <c r="O29"/>
  <c r="P29" s="1"/>
  <c r="O30"/>
  <c r="P30" s="1"/>
  <c r="O28"/>
  <c r="P28" s="1"/>
  <c r="O20"/>
  <c r="P20" s="1"/>
  <c r="V19"/>
  <c r="O17"/>
  <c r="P17" s="1"/>
  <c r="O18"/>
  <c r="O13"/>
  <c r="P13" s="1"/>
  <c r="O12"/>
  <c r="P12" s="1"/>
  <c r="O10"/>
  <c r="P10" s="1"/>
  <c r="O3"/>
  <c r="P3" s="1"/>
  <c r="O1"/>
  <c r="V32" i="11"/>
  <c r="F32"/>
  <c r="F27"/>
  <c r="O27" s="1"/>
  <c r="P27" s="1"/>
  <c r="F25"/>
  <c r="O25" s="1"/>
  <c r="P25" s="1"/>
  <c r="F24"/>
  <c r="O24" s="1"/>
  <c r="P24" s="1"/>
  <c r="F22"/>
  <c r="F21"/>
  <c r="F34"/>
  <c r="F33"/>
  <c r="V31"/>
  <c r="F31"/>
  <c r="O31" s="1"/>
  <c r="P31" s="1"/>
  <c r="F29"/>
  <c r="O29" s="1"/>
  <c r="P29" s="1"/>
  <c r="F30"/>
  <c r="F26"/>
  <c r="F28"/>
  <c r="V23"/>
  <c r="F23"/>
  <c r="O23" s="1"/>
  <c r="P23" s="1"/>
  <c r="F20"/>
  <c r="V19"/>
  <c r="F19"/>
  <c r="V17"/>
  <c r="V18"/>
  <c r="F11"/>
  <c r="F9"/>
  <c r="O9" s="1"/>
  <c r="P9" s="1"/>
  <c r="F8"/>
  <c r="O8" s="1"/>
  <c r="P8" s="1"/>
  <c r="F7"/>
  <c r="O32"/>
  <c r="P32" s="1"/>
  <c r="O22"/>
  <c r="P22" s="1"/>
  <c r="O34"/>
  <c r="P34" s="1"/>
  <c r="O33"/>
  <c r="P33" s="1"/>
  <c r="O30"/>
  <c r="P30" s="1"/>
  <c r="O26"/>
  <c r="P26" s="1"/>
  <c r="O28"/>
  <c r="P28" s="1"/>
  <c r="O20"/>
  <c r="P20" s="1"/>
  <c r="O17"/>
  <c r="P17" s="1"/>
  <c r="O18"/>
  <c r="O13"/>
  <c r="P13" s="1"/>
  <c r="O12"/>
  <c r="P12" s="1"/>
  <c r="O11"/>
  <c r="P11" s="1"/>
  <c r="O10"/>
  <c r="P10" s="1"/>
  <c r="O7"/>
  <c r="O5"/>
  <c r="V4"/>
  <c r="O4"/>
  <c r="P4" s="1"/>
  <c r="O3"/>
  <c r="O1"/>
  <c r="P1" s="1"/>
  <c r="V32" i="10"/>
  <c r="F32"/>
  <c r="O32" s="1"/>
  <c r="P32" s="1"/>
  <c r="F27"/>
  <c r="O27" s="1"/>
  <c r="P27" s="1"/>
  <c r="F25"/>
  <c r="F22"/>
  <c r="O22" s="1"/>
  <c r="P22" s="1"/>
  <c r="F21"/>
  <c r="F34"/>
  <c r="O34" s="1"/>
  <c r="P34" s="1"/>
  <c r="F33"/>
  <c r="V31"/>
  <c r="F31"/>
  <c r="F29"/>
  <c r="O29" s="1"/>
  <c r="P29" s="1"/>
  <c r="F30"/>
  <c r="F26"/>
  <c r="O26" s="1"/>
  <c r="P26" s="1"/>
  <c r="V23"/>
  <c r="F23"/>
  <c r="O23" s="1"/>
  <c r="P23" s="1"/>
  <c r="V19"/>
  <c r="F19"/>
  <c r="V17"/>
  <c r="V18"/>
  <c r="F10"/>
  <c r="F9"/>
  <c r="O9" s="1"/>
  <c r="P9" s="1"/>
  <c r="F8"/>
  <c r="F7"/>
  <c r="F5"/>
  <c r="V16"/>
  <c r="O16"/>
  <c r="V4"/>
  <c r="O4"/>
  <c r="O3"/>
  <c r="P3" s="1"/>
  <c r="O25"/>
  <c r="P25" s="1"/>
  <c r="O24"/>
  <c r="P24" s="1"/>
  <c r="O33"/>
  <c r="P33" s="1"/>
  <c r="O30"/>
  <c r="P30" s="1"/>
  <c r="F28"/>
  <c r="O28" s="1"/>
  <c r="P28" s="1"/>
  <c r="O20"/>
  <c r="P20" s="1"/>
  <c r="O17"/>
  <c r="P17" s="1"/>
  <c r="O18"/>
  <c r="O13"/>
  <c r="P13" s="1"/>
  <c r="O12"/>
  <c r="P12" s="1"/>
  <c r="O11"/>
  <c r="P11" s="1"/>
  <c r="O10"/>
  <c r="P10" s="1"/>
  <c r="O8"/>
  <c r="P8" s="1"/>
  <c r="O5"/>
  <c r="P5" s="1"/>
  <c r="O1"/>
  <c r="P1" s="1"/>
  <c r="V32" i="9"/>
  <c r="F32"/>
  <c r="F27"/>
  <c r="F25"/>
  <c r="F24"/>
  <c r="F22"/>
  <c r="F21"/>
  <c r="F34"/>
  <c r="O34" s="1"/>
  <c r="P34" s="1"/>
  <c r="F33"/>
  <c r="O33" s="1"/>
  <c r="P33" s="1"/>
  <c r="F29"/>
  <c r="F30"/>
  <c r="O30" s="1"/>
  <c r="P30" s="1"/>
  <c r="F26"/>
  <c r="O26" s="1"/>
  <c r="P26" s="1"/>
  <c r="F28"/>
  <c r="F23"/>
  <c r="V19"/>
  <c r="F19"/>
  <c r="V14"/>
  <c r="V18"/>
  <c r="F11"/>
  <c r="F10"/>
  <c r="O10" s="1"/>
  <c r="P10" s="1"/>
  <c r="F9"/>
  <c r="F8"/>
  <c r="F7"/>
  <c r="O7" s="1"/>
  <c r="O32"/>
  <c r="P32" s="1"/>
  <c r="O27"/>
  <c r="P27" s="1"/>
  <c r="O25"/>
  <c r="P25" s="1"/>
  <c r="O24"/>
  <c r="P24" s="1"/>
  <c r="O22"/>
  <c r="P22" s="1"/>
  <c r="O21"/>
  <c r="V31"/>
  <c r="O31"/>
  <c r="P31" s="1"/>
  <c r="O29"/>
  <c r="P29" s="1"/>
  <c r="O28"/>
  <c r="P28" s="1"/>
  <c r="V23"/>
  <c r="O23"/>
  <c r="P23" s="1"/>
  <c r="O20"/>
  <c r="P20" s="1"/>
  <c r="V20" s="1"/>
  <c r="V17"/>
  <c r="O17"/>
  <c r="P17" s="1"/>
  <c r="O14"/>
  <c r="O18"/>
  <c r="O13"/>
  <c r="P13" s="1"/>
  <c r="V13" s="1"/>
  <c r="O12"/>
  <c r="P12" s="1"/>
  <c r="V12" s="1"/>
  <c r="O9"/>
  <c r="P9" s="1"/>
  <c r="O5"/>
  <c r="O3"/>
  <c r="P3" s="1"/>
  <c r="O1"/>
  <c r="V32" i="8"/>
  <c r="F32"/>
  <c r="O32" s="1"/>
  <c r="P32" s="1"/>
  <c r="F27"/>
  <c r="F25"/>
  <c r="F24"/>
  <c r="F22"/>
  <c r="O22" s="1"/>
  <c r="P22" s="1"/>
  <c r="F21"/>
  <c r="F34"/>
  <c r="F33"/>
  <c r="F29"/>
  <c r="F30"/>
  <c r="F26"/>
  <c r="F28"/>
  <c r="F23"/>
  <c r="O23" s="1"/>
  <c r="P23" s="1"/>
  <c r="V19"/>
  <c r="F19"/>
  <c r="V15"/>
  <c r="V18"/>
  <c r="F11"/>
  <c r="O11" s="1"/>
  <c r="P11" s="1"/>
  <c r="F10"/>
  <c r="F9"/>
  <c r="O9" s="1"/>
  <c r="P9" s="1"/>
  <c r="F8"/>
  <c r="O27"/>
  <c r="P27" s="1"/>
  <c r="O25"/>
  <c r="P25" s="1"/>
  <c r="O24"/>
  <c r="P24" s="1"/>
  <c r="O34"/>
  <c r="P34" s="1"/>
  <c r="O33"/>
  <c r="P33" s="1"/>
  <c r="V31"/>
  <c r="O31"/>
  <c r="P31" s="1"/>
  <c r="O29"/>
  <c r="P29" s="1"/>
  <c r="O30"/>
  <c r="P30" s="1"/>
  <c r="O26"/>
  <c r="P26" s="1"/>
  <c r="O28"/>
  <c r="P28" s="1"/>
  <c r="V23"/>
  <c r="O20"/>
  <c r="P20" s="1"/>
  <c r="O19"/>
  <c r="V17"/>
  <c r="O17"/>
  <c r="P17" s="1"/>
  <c r="O15"/>
  <c r="P15" s="1"/>
  <c r="V14"/>
  <c r="O14"/>
  <c r="P14" s="1"/>
  <c r="O18"/>
  <c r="O13"/>
  <c r="P13" s="1"/>
  <c r="O12"/>
  <c r="P12" s="1"/>
  <c r="O10"/>
  <c r="P10" s="1"/>
  <c r="O5"/>
  <c r="P5" s="1"/>
  <c r="O3"/>
  <c r="P3" s="1"/>
  <c r="O1"/>
  <c r="P1" s="1"/>
  <c r="V32" i="7"/>
  <c r="F32"/>
  <c r="F27"/>
  <c r="F25"/>
  <c r="F24"/>
  <c r="F22"/>
  <c r="O22" s="1"/>
  <c r="P22" s="1"/>
  <c r="F21"/>
  <c r="F34"/>
  <c r="F33"/>
  <c r="O33" s="1"/>
  <c r="P33" s="1"/>
  <c r="V31"/>
  <c r="F29"/>
  <c r="F30"/>
  <c r="O30" s="1"/>
  <c r="P30" s="1"/>
  <c r="F26"/>
  <c r="O26" s="1"/>
  <c r="P26" s="1"/>
  <c r="F28"/>
  <c r="O28" s="1"/>
  <c r="P28" s="1"/>
  <c r="V23"/>
  <c r="F23"/>
  <c r="V19"/>
  <c r="F19"/>
  <c r="V17"/>
  <c r="V15"/>
  <c r="V14"/>
  <c r="V18"/>
  <c r="F11"/>
  <c r="F10"/>
  <c r="F9"/>
  <c r="F8"/>
  <c r="F7"/>
  <c r="O32"/>
  <c r="P32" s="1"/>
  <c r="O27"/>
  <c r="P27" s="1"/>
  <c r="O25"/>
  <c r="P25" s="1"/>
  <c r="O24"/>
  <c r="P24" s="1"/>
  <c r="O34"/>
  <c r="P34" s="1"/>
  <c r="O31"/>
  <c r="P31" s="1"/>
  <c r="O29"/>
  <c r="P29" s="1"/>
  <c r="O23"/>
  <c r="P23" s="1"/>
  <c r="O20"/>
  <c r="P20" s="1"/>
  <c r="O19"/>
  <c r="O17"/>
  <c r="P17" s="1"/>
  <c r="O15"/>
  <c r="P15" s="1"/>
  <c r="O14"/>
  <c r="P14" s="1"/>
  <c r="O18"/>
  <c r="O13"/>
  <c r="P13" s="1"/>
  <c r="O12"/>
  <c r="P12" s="1"/>
  <c r="O11"/>
  <c r="P11" s="1"/>
  <c r="O10"/>
  <c r="P10" s="1"/>
  <c r="O9"/>
  <c r="P9" s="1"/>
  <c r="O8"/>
  <c r="P8" s="1"/>
  <c r="O5"/>
  <c r="P5" s="1"/>
  <c r="O3"/>
  <c r="P3" s="1"/>
  <c r="O1"/>
  <c r="P1" s="1"/>
  <c r="F29" i="6"/>
  <c r="O29" s="1"/>
  <c r="P29" s="1"/>
  <c r="V18"/>
  <c r="O18"/>
  <c r="P18" s="1"/>
  <c r="V32"/>
  <c r="F32"/>
  <c r="O32" s="1"/>
  <c r="P32" s="1"/>
  <c r="F27"/>
  <c r="O27" s="1"/>
  <c r="P27" s="1"/>
  <c r="F25"/>
  <c r="F24"/>
  <c r="F22"/>
  <c r="O22" s="1"/>
  <c r="P22" s="1"/>
  <c r="F21"/>
  <c r="F34"/>
  <c r="D70" i="16" s="1"/>
  <c r="F33" i="6"/>
  <c r="O33" s="1"/>
  <c r="P33" s="1"/>
  <c r="F30"/>
  <c r="O30" s="1"/>
  <c r="P30" s="1"/>
  <c r="F26"/>
  <c r="O26" s="1"/>
  <c r="P26" s="1"/>
  <c r="F28"/>
  <c r="V23"/>
  <c r="F23"/>
  <c r="V19"/>
  <c r="F19"/>
  <c r="V15"/>
  <c r="V14"/>
  <c r="F13"/>
  <c r="F12"/>
  <c r="D37" i="16" s="1"/>
  <c r="F11" i="6"/>
  <c r="F10"/>
  <c r="O10" s="1"/>
  <c r="P10" s="1"/>
  <c r="F9"/>
  <c r="O9" s="1"/>
  <c r="P9" s="1"/>
  <c r="F8"/>
  <c r="F7"/>
  <c r="F5"/>
  <c r="O5" s="1"/>
  <c r="F3"/>
  <c r="O25"/>
  <c r="P25" s="1"/>
  <c r="O24"/>
  <c r="P24" s="1"/>
  <c r="O34"/>
  <c r="P34" s="1"/>
  <c r="V31"/>
  <c r="O31"/>
  <c r="P31" s="1"/>
  <c r="O28"/>
  <c r="P28" s="1"/>
  <c r="O20"/>
  <c r="P20" s="1"/>
  <c r="O19"/>
  <c r="V17"/>
  <c r="O17"/>
  <c r="P17" s="1"/>
  <c r="O15"/>
  <c r="P15" s="1"/>
  <c r="O14"/>
  <c r="O13"/>
  <c r="P13" s="1"/>
  <c r="O12"/>
  <c r="P12" s="1"/>
  <c r="O11"/>
  <c r="P11" s="1"/>
  <c r="O8"/>
  <c r="P8" s="1"/>
  <c r="O7"/>
  <c r="P7" s="1"/>
  <c r="O3"/>
  <c r="O1"/>
  <c r="F25" i="5"/>
  <c r="O25" s="1"/>
  <c r="P25" s="1"/>
  <c r="V25" s="1"/>
  <c r="V32"/>
  <c r="F32"/>
  <c r="F27"/>
  <c r="F24"/>
  <c r="F22"/>
  <c r="O22" s="1"/>
  <c r="P22" s="1"/>
  <c r="V22" s="1"/>
  <c r="F21"/>
  <c r="F33"/>
  <c r="O33" s="1"/>
  <c r="P33" s="1"/>
  <c r="V33" s="1"/>
  <c r="F29"/>
  <c r="V31"/>
  <c r="O31"/>
  <c r="P31" s="1"/>
  <c r="O34"/>
  <c r="P34" s="1"/>
  <c r="V34" s="1"/>
  <c r="O32"/>
  <c r="P32" s="1"/>
  <c r="O27"/>
  <c r="P27" s="1"/>
  <c r="O21"/>
  <c r="P21" s="1"/>
  <c r="V21" s="1"/>
  <c r="F30"/>
  <c r="O30" s="1"/>
  <c r="P30" s="1"/>
  <c r="F26"/>
  <c r="D62" i="16" s="1"/>
  <c r="F28" i="5"/>
  <c r="V23"/>
  <c r="F23"/>
  <c r="O20"/>
  <c r="P20" s="1"/>
  <c r="V20" s="1"/>
  <c r="O28"/>
  <c r="P28" s="1"/>
  <c r="V28" s="1"/>
  <c r="O26"/>
  <c r="P26" s="1"/>
  <c r="V26" s="1"/>
  <c r="V19"/>
  <c r="F19"/>
  <c r="V18"/>
  <c r="V15"/>
  <c r="O15"/>
  <c r="P15" s="1"/>
  <c r="O17"/>
  <c r="P17" s="1"/>
  <c r="V17"/>
  <c r="O18"/>
  <c r="P18" s="1"/>
  <c r="V14"/>
  <c r="O14"/>
  <c r="P14" s="1"/>
  <c r="F13"/>
  <c r="F11"/>
  <c r="D36" i="16" s="1"/>
  <c r="O12" i="5"/>
  <c r="F10"/>
  <c r="O10" s="1"/>
  <c r="P10" s="1"/>
  <c r="V10" s="1"/>
  <c r="F9"/>
  <c r="O9" s="1"/>
  <c r="P9" s="1"/>
  <c r="V9" s="1"/>
  <c r="F8"/>
  <c r="O8" s="1"/>
  <c r="P8" s="1"/>
  <c r="V8" s="1"/>
  <c r="F7"/>
  <c r="F5"/>
  <c r="O5" s="1"/>
  <c r="F3"/>
  <c r="O1"/>
  <c r="F33" i="2"/>
  <c r="V32"/>
  <c r="F32"/>
  <c r="V31"/>
  <c r="F30"/>
  <c r="F25"/>
  <c r="V23"/>
  <c r="F22"/>
  <c r="F21"/>
  <c r="V19"/>
  <c r="V18"/>
  <c r="V17"/>
  <c r="P17"/>
  <c r="O17"/>
  <c r="V15"/>
  <c r="V14"/>
  <c r="P14"/>
  <c r="O14"/>
  <c r="M47" i="16" s="1"/>
  <c r="F10" i="2"/>
  <c r="F9"/>
  <c r="D31" i="16" s="1"/>
  <c r="F8" i="2"/>
  <c r="F7"/>
  <c r="D29" i="16" s="1"/>
  <c r="F5" i="2"/>
  <c r="F3"/>
  <c r="D18" i="16" s="1"/>
  <c r="P34" i="2"/>
  <c r="O34"/>
  <c r="O32"/>
  <c r="V29"/>
  <c r="P29"/>
  <c r="O29"/>
  <c r="O31"/>
  <c r="P31"/>
  <c r="P26"/>
  <c r="O26"/>
  <c r="O28"/>
  <c r="P28"/>
  <c r="O27"/>
  <c r="P25"/>
  <c r="N61" i="16" s="1"/>
  <c r="O23" i="2"/>
  <c r="P20"/>
  <c r="O20"/>
  <c r="O19"/>
  <c r="O18"/>
  <c r="P15"/>
  <c r="O15"/>
  <c r="P10"/>
  <c r="N32" i="16" s="1"/>
  <c r="O8" i="2"/>
  <c r="P8"/>
  <c r="P6"/>
  <c r="O6"/>
  <c r="M24" i="16" s="1"/>
  <c r="P5" i="2"/>
  <c r="O5"/>
  <c r="P3"/>
  <c r="P1"/>
  <c r="O1"/>
  <c r="Q5" l="1"/>
  <c r="V6"/>
  <c r="N24" i="16"/>
  <c r="Q15" i="2"/>
  <c r="N48" i="16"/>
  <c r="Q20" i="2"/>
  <c r="Q31"/>
  <c r="P22"/>
  <c r="D58" i="16"/>
  <c r="O25" i="2"/>
  <c r="M61" i="16" s="1"/>
  <c r="D61"/>
  <c r="O19" i="5"/>
  <c r="P19" s="1"/>
  <c r="D55" i="16"/>
  <c r="O29" i="5"/>
  <c r="P29" s="1"/>
  <c r="V29" s="1"/>
  <c r="D65" i="16"/>
  <c r="O24" i="5"/>
  <c r="D60" i="16"/>
  <c r="O4" i="12"/>
  <c r="P4" s="1"/>
  <c r="D19" i="16"/>
  <c r="D20" s="1"/>
  <c r="V26" i="2"/>
  <c r="N62" i="16"/>
  <c r="Q29" i="2"/>
  <c r="N65" i="16"/>
  <c r="V34" i="2"/>
  <c r="N70" i="16"/>
  <c r="O10" i="2"/>
  <c r="M32" i="16" s="1"/>
  <c r="D32"/>
  <c r="Q14" i="2"/>
  <c r="Q17"/>
  <c r="O21"/>
  <c r="D57" i="16"/>
  <c r="O30" i="2"/>
  <c r="M66" i="16" s="1"/>
  <c r="D66"/>
  <c r="O33" i="2"/>
  <c r="M69" i="16" s="1"/>
  <c r="D69"/>
  <c r="P12" i="5"/>
  <c r="M37" i="16"/>
  <c r="O13" i="5"/>
  <c r="D38" i="16"/>
  <c r="D39" s="1"/>
  <c r="O23" i="5"/>
  <c r="P23" s="1"/>
  <c r="D59" i="16"/>
  <c r="P4" i="10"/>
  <c r="N19" i="16" s="1"/>
  <c r="M19"/>
  <c r="P16" i="10"/>
  <c r="N49" i="16" s="1"/>
  <c r="M49"/>
  <c r="O31" i="10"/>
  <c r="P31" s="1"/>
  <c r="N67" i="16" s="1"/>
  <c r="D67"/>
  <c r="P2" i="14"/>
  <c r="N14" i="16" s="1"/>
  <c r="M14"/>
  <c r="O18" i="15"/>
  <c r="D43" i="16"/>
  <c r="D44" s="1"/>
  <c r="M62"/>
  <c r="M65"/>
  <c r="M70"/>
  <c r="M13"/>
  <c r="M15" s="1"/>
  <c r="O3" i="2"/>
  <c r="M23" i="16"/>
  <c r="M25" s="1"/>
  <c r="O9" i="2"/>
  <c r="M31" i="16" s="1"/>
  <c r="M48"/>
  <c r="M43"/>
  <c r="M44" s="1"/>
  <c r="M63"/>
  <c r="M64"/>
  <c r="M67"/>
  <c r="M68"/>
  <c r="D23"/>
  <c r="D25" s="1"/>
  <c r="D30"/>
  <c r="D33" s="1"/>
  <c r="D68"/>
  <c r="D64"/>
  <c r="D63"/>
  <c r="D56"/>
  <c r="O17" i="15"/>
  <c r="M50" i="16" s="1"/>
  <c r="P3" i="13"/>
  <c r="V3" s="1"/>
  <c r="P5" i="9"/>
  <c r="V20" i="15"/>
  <c r="Q20"/>
  <c r="P3"/>
  <c r="Q3" s="1"/>
  <c r="S3" s="1"/>
  <c r="O8"/>
  <c r="P8" s="1"/>
  <c r="Q8" s="1"/>
  <c r="S8" s="1"/>
  <c r="V24"/>
  <c r="Q24"/>
  <c r="S24" s="1"/>
  <c r="T24" s="1"/>
  <c r="P18"/>
  <c r="Q18" s="1"/>
  <c r="S18" s="1"/>
  <c r="P17"/>
  <c r="Q9"/>
  <c r="S9" s="1"/>
  <c r="T9" s="1"/>
  <c r="Q25"/>
  <c r="S25" s="1"/>
  <c r="T25" s="1"/>
  <c r="V25"/>
  <c r="Q2"/>
  <c r="Q10"/>
  <c r="S10" s="1"/>
  <c r="T10" s="1"/>
  <c r="V10"/>
  <c r="V30"/>
  <c r="Q30"/>
  <c r="S30" s="1"/>
  <c r="T30" s="1"/>
  <c r="S21"/>
  <c r="T13"/>
  <c r="P28"/>
  <c r="N64" i="16" s="1"/>
  <c r="V12" i="15"/>
  <c r="V34"/>
  <c r="T12"/>
  <c r="V13"/>
  <c r="T34"/>
  <c r="V3"/>
  <c r="V21"/>
  <c r="P7"/>
  <c r="S20"/>
  <c r="O8" i="8"/>
  <c r="P8" s="1"/>
  <c r="N30" i="16" s="1"/>
  <c r="O22" i="2"/>
  <c r="M58" i="16" s="1"/>
  <c r="P33" i="2"/>
  <c r="N69" i="16" s="1"/>
  <c r="Q34" i="2"/>
  <c r="O11" i="5"/>
  <c r="O23" i="6"/>
  <c r="P23" s="1"/>
  <c r="O20" i="13"/>
  <c r="P20" s="1"/>
  <c r="N56" i="16" s="1"/>
  <c r="O3" i="5"/>
  <c r="P18" i="14"/>
  <c r="P21"/>
  <c r="Q21" s="1"/>
  <c r="O24"/>
  <c r="P24" s="1"/>
  <c r="V24" s="1"/>
  <c r="Q8"/>
  <c r="S8" s="1"/>
  <c r="T8" s="1"/>
  <c r="V8"/>
  <c r="Q12"/>
  <c r="S12" s="1"/>
  <c r="T12" s="1"/>
  <c r="V12"/>
  <c r="V30"/>
  <c r="Q30"/>
  <c r="S30" s="1"/>
  <c r="T30" s="1"/>
  <c r="V25"/>
  <c r="Q25"/>
  <c r="S25" s="1"/>
  <c r="T25" s="1"/>
  <c r="Q2"/>
  <c r="O14" i="16" s="1"/>
  <c r="V9" i="14"/>
  <c r="Q9"/>
  <c r="S9" s="1"/>
  <c r="T9" s="1"/>
  <c r="Q10"/>
  <c r="S10" s="1"/>
  <c r="T10" s="1"/>
  <c r="V10"/>
  <c r="Q13"/>
  <c r="S13" s="1"/>
  <c r="T13" s="1"/>
  <c r="V13"/>
  <c r="V20"/>
  <c r="Q20"/>
  <c r="S20" s="1"/>
  <c r="T20" s="1"/>
  <c r="V28"/>
  <c r="Q28"/>
  <c r="S28" s="1"/>
  <c r="T28" s="1"/>
  <c r="Q34"/>
  <c r="S34" s="1"/>
  <c r="T34" s="1"/>
  <c r="V34"/>
  <c r="P3"/>
  <c r="O7"/>
  <c r="P11"/>
  <c r="P17"/>
  <c r="P18" i="13"/>
  <c r="V9"/>
  <c r="Q9"/>
  <c r="S9" s="1"/>
  <c r="T9" s="1"/>
  <c r="Q10"/>
  <c r="S10" s="1"/>
  <c r="T10" s="1"/>
  <c r="V10"/>
  <c r="Q13"/>
  <c r="S13" s="1"/>
  <c r="T13" s="1"/>
  <c r="V13"/>
  <c r="Q23"/>
  <c r="S23" s="1"/>
  <c r="T23" s="1"/>
  <c r="V26"/>
  <c r="Q26"/>
  <c r="S26" s="1"/>
  <c r="T26" s="1"/>
  <c r="Q31"/>
  <c r="S31" s="1"/>
  <c r="T31" s="1"/>
  <c r="V33"/>
  <c r="Q33"/>
  <c r="S33" s="1"/>
  <c r="T33" s="1"/>
  <c r="Q34"/>
  <c r="S34" s="1"/>
  <c r="T34" s="1"/>
  <c r="V34"/>
  <c r="V25"/>
  <c r="Q25"/>
  <c r="S25" s="1"/>
  <c r="T25" s="1"/>
  <c r="Q27"/>
  <c r="S27" s="1"/>
  <c r="T27" s="1"/>
  <c r="V27"/>
  <c r="Q4"/>
  <c r="S4" s="1"/>
  <c r="T4" s="1"/>
  <c r="Q8"/>
  <c r="S8" s="1"/>
  <c r="T8" s="1"/>
  <c r="V8"/>
  <c r="Q12"/>
  <c r="S12" s="1"/>
  <c r="T12" s="1"/>
  <c r="V12"/>
  <c r="Q20"/>
  <c r="S20" s="1"/>
  <c r="T20" s="1"/>
  <c r="V20"/>
  <c r="Q28"/>
  <c r="S28" s="1"/>
  <c r="T28" s="1"/>
  <c r="V28"/>
  <c r="V22"/>
  <c r="Q22"/>
  <c r="S22" s="1"/>
  <c r="T22" s="1"/>
  <c r="Q24"/>
  <c r="S24" s="1"/>
  <c r="T24" s="1"/>
  <c r="V24"/>
  <c r="Q32"/>
  <c r="S32" s="1"/>
  <c r="T32" s="1"/>
  <c r="P1"/>
  <c r="Q3"/>
  <c r="O7"/>
  <c r="P11"/>
  <c r="P17"/>
  <c r="N50" i="16" s="1"/>
  <c r="Q19" i="13"/>
  <c r="Q30"/>
  <c r="S30" s="1"/>
  <c r="T30" s="1"/>
  <c r="Q29"/>
  <c r="S29" s="1"/>
  <c r="T29" s="1"/>
  <c r="P21"/>
  <c r="P1" i="12"/>
  <c r="O7"/>
  <c r="P7" s="1"/>
  <c r="V7" s="1"/>
  <c r="O11"/>
  <c r="P11" s="1"/>
  <c r="P18"/>
  <c r="O19"/>
  <c r="V3"/>
  <c r="Q3"/>
  <c r="V10"/>
  <c r="Q10"/>
  <c r="S10" s="1"/>
  <c r="T10" s="1"/>
  <c r="V13"/>
  <c r="Q13"/>
  <c r="S13" s="1"/>
  <c r="T13" s="1"/>
  <c r="Q20"/>
  <c r="S20" s="1"/>
  <c r="T20" s="1"/>
  <c r="V20"/>
  <c r="Q23"/>
  <c r="S23" s="1"/>
  <c r="T23" s="1"/>
  <c r="Q28"/>
  <c r="S28" s="1"/>
  <c r="T28" s="1"/>
  <c r="V28"/>
  <c r="V26"/>
  <c r="Q26"/>
  <c r="S26" s="1"/>
  <c r="T26" s="1"/>
  <c r="Q31"/>
  <c r="S31" s="1"/>
  <c r="T31" s="1"/>
  <c r="Q34"/>
  <c r="S34" s="1"/>
  <c r="T34" s="1"/>
  <c r="V34"/>
  <c r="Q24"/>
  <c r="S24" s="1"/>
  <c r="T24" s="1"/>
  <c r="V24"/>
  <c r="V25"/>
  <c r="Q25"/>
  <c r="S25" s="1"/>
  <c r="T25" s="1"/>
  <c r="Q4"/>
  <c r="S4" s="1"/>
  <c r="T4" s="1"/>
  <c r="Q8"/>
  <c r="S8" s="1"/>
  <c r="T8" s="1"/>
  <c r="V8"/>
  <c r="V9"/>
  <c r="Q9"/>
  <c r="S9" s="1"/>
  <c r="T9" s="1"/>
  <c r="V12"/>
  <c r="Q12"/>
  <c r="S12" s="1"/>
  <c r="T12" s="1"/>
  <c r="Q17"/>
  <c r="Q30"/>
  <c r="S30" s="1"/>
  <c r="T30" s="1"/>
  <c r="V30"/>
  <c r="V29"/>
  <c r="Q29"/>
  <c r="S29" s="1"/>
  <c r="T29" s="1"/>
  <c r="V33"/>
  <c r="Q33"/>
  <c r="S33" s="1"/>
  <c r="T33" s="1"/>
  <c r="V22"/>
  <c r="Q22"/>
  <c r="S22" s="1"/>
  <c r="T22" s="1"/>
  <c r="Q27"/>
  <c r="S27" s="1"/>
  <c r="T27" s="1"/>
  <c r="V27"/>
  <c r="Q32"/>
  <c r="S32" s="1"/>
  <c r="T32" s="1"/>
  <c r="V1"/>
  <c r="Q18"/>
  <c r="O21"/>
  <c r="O19" i="11"/>
  <c r="P19" s="1"/>
  <c r="Q19" s="1"/>
  <c r="O21"/>
  <c r="P21" s="1"/>
  <c r="Q21" s="1"/>
  <c r="P18"/>
  <c r="P3"/>
  <c r="Q8"/>
  <c r="S8" s="1"/>
  <c r="T8" s="1"/>
  <c r="V8"/>
  <c r="V9"/>
  <c r="Q9"/>
  <c r="S9" s="1"/>
  <c r="T9" s="1"/>
  <c r="V11"/>
  <c r="Q11"/>
  <c r="V13"/>
  <c r="Q13"/>
  <c r="S13" s="1"/>
  <c r="T13" s="1"/>
  <c r="Q17"/>
  <c r="S17" s="1"/>
  <c r="T17" s="1"/>
  <c r="Q23"/>
  <c r="S23" s="1"/>
  <c r="T23" s="1"/>
  <c r="Q26"/>
  <c r="S26" s="1"/>
  <c r="T26" s="1"/>
  <c r="V26"/>
  <c r="V30"/>
  <c r="Q30"/>
  <c r="S30" s="1"/>
  <c r="T30" s="1"/>
  <c r="Q22"/>
  <c r="S22" s="1"/>
  <c r="T22" s="1"/>
  <c r="V22"/>
  <c r="V25"/>
  <c r="Q25"/>
  <c r="S25" s="1"/>
  <c r="T25" s="1"/>
  <c r="V1"/>
  <c r="Q1"/>
  <c r="P5"/>
  <c r="Q10"/>
  <c r="S10" s="1"/>
  <c r="T10" s="1"/>
  <c r="V10"/>
  <c r="V12"/>
  <c r="Q12"/>
  <c r="S12" s="1"/>
  <c r="T12" s="1"/>
  <c r="V20"/>
  <c r="Q20"/>
  <c r="S20" s="1"/>
  <c r="T20" s="1"/>
  <c r="V28"/>
  <c r="Q28"/>
  <c r="S28" s="1"/>
  <c r="T28" s="1"/>
  <c r="Q29"/>
  <c r="S29" s="1"/>
  <c r="T29" s="1"/>
  <c r="V29"/>
  <c r="Q31"/>
  <c r="S31" s="1"/>
  <c r="T31" s="1"/>
  <c r="Q33"/>
  <c r="S33" s="1"/>
  <c r="T33" s="1"/>
  <c r="V33"/>
  <c r="V34"/>
  <c r="Q34"/>
  <c r="S34" s="1"/>
  <c r="T34" s="1"/>
  <c r="V21"/>
  <c r="Q27"/>
  <c r="S27" s="1"/>
  <c r="T27" s="1"/>
  <c r="V27"/>
  <c r="Q32"/>
  <c r="S32" s="1"/>
  <c r="T32" s="1"/>
  <c r="V3"/>
  <c r="V24"/>
  <c r="Q4"/>
  <c r="S4" s="1"/>
  <c r="T4" s="1"/>
  <c r="P7"/>
  <c r="Q18"/>
  <c r="Q24"/>
  <c r="S24" s="1"/>
  <c r="T24" s="1"/>
  <c r="Q16" i="10"/>
  <c r="O49" i="16" s="1"/>
  <c r="Q4" i="10"/>
  <c r="Q3"/>
  <c r="V3"/>
  <c r="O19"/>
  <c r="P18"/>
  <c r="Q18" s="1"/>
  <c r="V1"/>
  <c r="Q1"/>
  <c r="Q9"/>
  <c r="S9" s="1"/>
  <c r="T9" s="1"/>
  <c r="V9"/>
  <c r="V10"/>
  <c r="Q10"/>
  <c r="S10" s="1"/>
  <c r="T10" s="1"/>
  <c r="V11"/>
  <c r="Q11"/>
  <c r="V13"/>
  <c r="Q13"/>
  <c r="S13" s="1"/>
  <c r="T13" s="1"/>
  <c r="V20"/>
  <c r="Q20"/>
  <c r="S20" s="1"/>
  <c r="T20" s="1"/>
  <c r="V28"/>
  <c r="Q28"/>
  <c r="S28" s="1"/>
  <c r="T28" s="1"/>
  <c r="Q29"/>
  <c r="S29" s="1"/>
  <c r="T29" s="1"/>
  <c r="V29"/>
  <c r="Q34"/>
  <c r="S34" s="1"/>
  <c r="T34" s="1"/>
  <c r="V34"/>
  <c r="Q24"/>
  <c r="S24" s="1"/>
  <c r="T24" s="1"/>
  <c r="V24"/>
  <c r="V25"/>
  <c r="Q25"/>
  <c r="S25" s="1"/>
  <c r="T25" s="1"/>
  <c r="V5"/>
  <c r="Q5"/>
  <c r="V8"/>
  <c r="Q8"/>
  <c r="S8" s="1"/>
  <c r="T8" s="1"/>
  <c r="V12"/>
  <c r="Q12"/>
  <c r="S12" s="1"/>
  <c r="T12" s="1"/>
  <c r="Q17"/>
  <c r="S17" s="1"/>
  <c r="T17" s="1"/>
  <c r="Q23"/>
  <c r="S23" s="1"/>
  <c r="T23" s="1"/>
  <c r="Q26"/>
  <c r="S26" s="1"/>
  <c r="T26" s="1"/>
  <c r="V26"/>
  <c r="V30"/>
  <c r="Q30"/>
  <c r="S30" s="1"/>
  <c r="T30" s="1"/>
  <c r="V33"/>
  <c r="Q33"/>
  <c r="S33" s="1"/>
  <c r="T33" s="1"/>
  <c r="V22"/>
  <c r="Q22"/>
  <c r="S22" s="1"/>
  <c r="T22" s="1"/>
  <c r="Q27"/>
  <c r="S27" s="1"/>
  <c r="T27" s="1"/>
  <c r="V27"/>
  <c r="Q32"/>
  <c r="S32" s="1"/>
  <c r="T32" s="1"/>
  <c r="O7"/>
  <c r="Q31"/>
  <c r="S31" s="1"/>
  <c r="T31" s="1"/>
  <c r="O21"/>
  <c r="P14" i="9"/>
  <c r="P1"/>
  <c r="V1" s="1"/>
  <c r="V3"/>
  <c r="Q3"/>
  <c r="Q9"/>
  <c r="S9" s="1"/>
  <c r="T9" s="1"/>
  <c r="V9"/>
  <c r="Q23"/>
  <c r="S23" s="1"/>
  <c r="T23" s="1"/>
  <c r="V28"/>
  <c r="Q28"/>
  <c r="S28" s="1"/>
  <c r="T28" s="1"/>
  <c r="Q26"/>
  <c r="S26" s="1"/>
  <c r="T26" s="1"/>
  <c r="V26"/>
  <c r="Q31"/>
  <c r="S31" s="1"/>
  <c r="T31" s="1"/>
  <c r="V33"/>
  <c r="Q33"/>
  <c r="S33" s="1"/>
  <c r="T33" s="1"/>
  <c r="Q34"/>
  <c r="S34" s="1"/>
  <c r="T34" s="1"/>
  <c r="V34"/>
  <c r="V25"/>
  <c r="Q25"/>
  <c r="S25" s="1"/>
  <c r="T25" s="1"/>
  <c r="Q27"/>
  <c r="S27" s="1"/>
  <c r="T27" s="1"/>
  <c r="V27"/>
  <c r="V10"/>
  <c r="Q10"/>
  <c r="S10" s="1"/>
  <c r="T10" s="1"/>
  <c r="V30"/>
  <c r="Q30"/>
  <c r="S30" s="1"/>
  <c r="T30" s="1"/>
  <c r="Q29"/>
  <c r="S29" s="1"/>
  <c r="T29" s="1"/>
  <c r="V29"/>
  <c r="V22"/>
  <c r="Q22"/>
  <c r="S22" s="1"/>
  <c r="T22" s="1"/>
  <c r="Q24"/>
  <c r="S24" s="1"/>
  <c r="T24" s="1"/>
  <c r="V24"/>
  <c r="Q32"/>
  <c r="S32" s="1"/>
  <c r="T32" s="1"/>
  <c r="V5"/>
  <c r="P7"/>
  <c r="O8"/>
  <c r="P8" s="1"/>
  <c r="O11"/>
  <c r="Q12"/>
  <c r="S12" s="1"/>
  <c r="T12" s="1"/>
  <c r="Q13"/>
  <c r="S13" s="1"/>
  <c r="T13" s="1"/>
  <c r="P18"/>
  <c r="Q14"/>
  <c r="Q17"/>
  <c r="S17" s="1"/>
  <c r="T17" s="1"/>
  <c r="O19"/>
  <c r="M55" i="16" s="1"/>
  <c r="Q20" i="9"/>
  <c r="S20" s="1"/>
  <c r="T20" s="1"/>
  <c r="P21"/>
  <c r="Q1"/>
  <c r="Q5"/>
  <c r="P18" i="8"/>
  <c r="V1"/>
  <c r="Q1"/>
  <c r="Q9"/>
  <c r="S9" s="1"/>
  <c r="T9" s="1"/>
  <c r="V9"/>
  <c r="V10"/>
  <c r="Q10"/>
  <c r="S10" s="1"/>
  <c r="T10" s="1"/>
  <c r="V11"/>
  <c r="Q11"/>
  <c r="V13"/>
  <c r="Q13"/>
  <c r="S13" s="1"/>
  <c r="T13" s="1"/>
  <c r="V20"/>
  <c r="Q20"/>
  <c r="S20" s="1"/>
  <c r="T20" s="1"/>
  <c r="V28"/>
  <c r="Q28"/>
  <c r="S28" s="1"/>
  <c r="T28" s="1"/>
  <c r="Q29"/>
  <c r="S29" s="1"/>
  <c r="T29" s="1"/>
  <c r="V29"/>
  <c r="Q34"/>
  <c r="S34" s="1"/>
  <c r="T34" s="1"/>
  <c r="V34"/>
  <c r="Q24"/>
  <c r="S24" s="1"/>
  <c r="T24" s="1"/>
  <c r="V24"/>
  <c r="V25"/>
  <c r="Q25"/>
  <c r="S25" s="1"/>
  <c r="T25" s="1"/>
  <c r="V5"/>
  <c r="Q5"/>
  <c r="V8"/>
  <c r="Q8"/>
  <c r="S8" s="1"/>
  <c r="T8" s="1"/>
  <c r="V12"/>
  <c r="Q12"/>
  <c r="S12" s="1"/>
  <c r="T12" s="1"/>
  <c r="Q14"/>
  <c r="Q15"/>
  <c r="S15" s="1"/>
  <c r="T15" s="1"/>
  <c r="Q17"/>
  <c r="S17" s="1"/>
  <c r="T17" s="1"/>
  <c r="Q23"/>
  <c r="S23" s="1"/>
  <c r="T23" s="1"/>
  <c r="Q26"/>
  <c r="S26" s="1"/>
  <c r="T26" s="1"/>
  <c r="V26"/>
  <c r="V30"/>
  <c r="Q30"/>
  <c r="S30" s="1"/>
  <c r="T30" s="1"/>
  <c r="V33"/>
  <c r="Q33"/>
  <c r="S33" s="1"/>
  <c r="T33" s="1"/>
  <c r="V22"/>
  <c r="Q22"/>
  <c r="S22" s="1"/>
  <c r="T22" s="1"/>
  <c r="Q27"/>
  <c r="S27" s="1"/>
  <c r="T27" s="1"/>
  <c r="V27"/>
  <c r="Q32"/>
  <c r="S32" s="1"/>
  <c r="T32" s="1"/>
  <c r="V3"/>
  <c r="Q3"/>
  <c r="O7"/>
  <c r="Q18"/>
  <c r="P19"/>
  <c r="Q31"/>
  <c r="S31" s="1"/>
  <c r="T31" s="1"/>
  <c r="O21"/>
  <c r="P18" i="7"/>
  <c r="Q18" s="1"/>
  <c r="V1"/>
  <c r="Q1"/>
  <c r="V8"/>
  <c r="Q8"/>
  <c r="S8" s="1"/>
  <c r="T8" s="1"/>
  <c r="Q12"/>
  <c r="S12" s="1"/>
  <c r="T12" s="1"/>
  <c r="V12"/>
  <c r="V13"/>
  <c r="Q13"/>
  <c r="S13" s="1"/>
  <c r="T13" s="1"/>
  <c r="V20"/>
  <c r="Q20"/>
  <c r="S20" s="1"/>
  <c r="T20" s="1"/>
  <c r="V28"/>
  <c r="Q28"/>
  <c r="S28" s="1"/>
  <c r="T28" s="1"/>
  <c r="Q29"/>
  <c r="S29" s="1"/>
  <c r="T29" s="1"/>
  <c r="V29"/>
  <c r="Q34"/>
  <c r="S34" s="1"/>
  <c r="T34" s="1"/>
  <c r="V34"/>
  <c r="Q24"/>
  <c r="S24" s="1"/>
  <c r="T24" s="1"/>
  <c r="V24"/>
  <c r="V25"/>
  <c r="Q25"/>
  <c r="S25" s="1"/>
  <c r="T25" s="1"/>
  <c r="V3"/>
  <c r="Q3"/>
  <c r="V5"/>
  <c r="Q5"/>
  <c r="Q9"/>
  <c r="S9" s="1"/>
  <c r="T9" s="1"/>
  <c r="V9"/>
  <c r="V10"/>
  <c r="Q10"/>
  <c r="S10" s="1"/>
  <c r="T10" s="1"/>
  <c r="V11"/>
  <c r="Q11"/>
  <c r="Q14"/>
  <c r="Q15"/>
  <c r="S15" s="1"/>
  <c r="T15" s="1"/>
  <c r="Q17"/>
  <c r="S17" s="1"/>
  <c r="T17" s="1"/>
  <c r="Q23"/>
  <c r="S23" s="1"/>
  <c r="T23" s="1"/>
  <c r="Q26"/>
  <c r="S26" s="1"/>
  <c r="T26" s="1"/>
  <c r="V26"/>
  <c r="V30"/>
  <c r="Q30"/>
  <c r="S30" s="1"/>
  <c r="T30" s="1"/>
  <c r="V33"/>
  <c r="Q33"/>
  <c r="S33" s="1"/>
  <c r="T33" s="1"/>
  <c r="V22"/>
  <c r="Q22"/>
  <c r="S22" s="1"/>
  <c r="T22" s="1"/>
  <c r="Q27"/>
  <c r="S27" s="1"/>
  <c r="T27" s="1"/>
  <c r="V27"/>
  <c r="Q32"/>
  <c r="S32" s="1"/>
  <c r="T32" s="1"/>
  <c r="O7"/>
  <c r="P19"/>
  <c r="Q31"/>
  <c r="S31" s="1"/>
  <c r="T31" s="1"/>
  <c r="O21"/>
  <c r="Q29" i="6"/>
  <c r="S29" s="1"/>
  <c r="T29" s="1"/>
  <c r="V29"/>
  <c r="P1"/>
  <c r="P14"/>
  <c r="N47" i="16" s="1"/>
  <c r="N51" s="1"/>
  <c r="Q18" i="6"/>
  <c r="S18" s="1"/>
  <c r="T18" s="1"/>
  <c r="P5"/>
  <c r="Q8"/>
  <c r="S8" s="1"/>
  <c r="T8" s="1"/>
  <c r="V8"/>
  <c r="V9"/>
  <c r="Q9"/>
  <c r="S9" s="1"/>
  <c r="T9" s="1"/>
  <c r="V11"/>
  <c r="Q11"/>
  <c r="Q13"/>
  <c r="S13" s="1"/>
  <c r="T13" s="1"/>
  <c r="V13"/>
  <c r="Q23"/>
  <c r="S23" s="1"/>
  <c r="T23" s="1"/>
  <c r="Q26"/>
  <c r="S26" s="1"/>
  <c r="T26" s="1"/>
  <c r="V26"/>
  <c r="V30"/>
  <c r="Q30"/>
  <c r="S30" s="1"/>
  <c r="T30" s="1"/>
  <c r="V34"/>
  <c r="Q34"/>
  <c r="S34" s="1"/>
  <c r="T34" s="1"/>
  <c r="V22"/>
  <c r="Q22"/>
  <c r="S22" s="1"/>
  <c r="T22" s="1"/>
  <c r="Q27"/>
  <c r="S27" s="1"/>
  <c r="T27" s="1"/>
  <c r="V27"/>
  <c r="Q32"/>
  <c r="S32" s="1"/>
  <c r="T32" s="1"/>
  <c r="V7"/>
  <c r="Q7"/>
  <c r="Q10"/>
  <c r="S10" s="1"/>
  <c r="T10" s="1"/>
  <c r="V10"/>
  <c r="V12"/>
  <c r="Q12"/>
  <c r="S12" s="1"/>
  <c r="T12" s="1"/>
  <c r="V20"/>
  <c r="Q20"/>
  <c r="S20" s="1"/>
  <c r="T20" s="1"/>
  <c r="V28"/>
  <c r="Q28"/>
  <c r="S28" s="1"/>
  <c r="T28" s="1"/>
  <c r="Q31"/>
  <c r="S31" s="1"/>
  <c r="T31" s="1"/>
  <c r="V33"/>
  <c r="Q33"/>
  <c r="S33" s="1"/>
  <c r="T33" s="1"/>
  <c r="Q24"/>
  <c r="S24" s="1"/>
  <c r="T24" s="1"/>
  <c r="V24"/>
  <c r="V25"/>
  <c r="Q25"/>
  <c r="S25" s="1"/>
  <c r="T25" s="1"/>
  <c r="V1"/>
  <c r="P3"/>
  <c r="Q14"/>
  <c r="Q15"/>
  <c r="S15" s="1"/>
  <c r="T15" s="1"/>
  <c r="Q17"/>
  <c r="S17" s="1"/>
  <c r="T17" s="1"/>
  <c r="P19"/>
  <c r="O21"/>
  <c r="Q25" i="5"/>
  <c r="S25" s="1"/>
  <c r="T25" s="1"/>
  <c r="Q33"/>
  <c r="S33" s="1"/>
  <c r="T33" s="1"/>
  <c r="Q31"/>
  <c r="S31" s="1"/>
  <c r="T31" s="1"/>
  <c r="Q34"/>
  <c r="S34" s="1"/>
  <c r="T34" s="1"/>
  <c r="Q29"/>
  <c r="S29" s="1"/>
  <c r="T29" s="1"/>
  <c r="V30"/>
  <c r="Q27"/>
  <c r="S27" s="1"/>
  <c r="T27" s="1"/>
  <c r="V27"/>
  <c r="Q21"/>
  <c r="Q22"/>
  <c r="S22" s="1"/>
  <c r="T22" s="1"/>
  <c r="Q32"/>
  <c r="S32" s="1"/>
  <c r="T32" s="1"/>
  <c r="Q30"/>
  <c r="Q26"/>
  <c r="S26" s="1"/>
  <c r="T26" s="1"/>
  <c r="Q28"/>
  <c r="S28" s="1"/>
  <c r="T28" s="1"/>
  <c r="Q23"/>
  <c r="S23" s="1"/>
  <c r="T23" s="1"/>
  <c r="Q20"/>
  <c r="S20" s="1"/>
  <c r="T20" s="1"/>
  <c r="O7"/>
  <c r="Q19"/>
  <c r="Q18"/>
  <c r="S18" s="1"/>
  <c r="T18" s="1"/>
  <c r="Q17"/>
  <c r="S17" s="1"/>
  <c r="T17" s="1"/>
  <c r="Q15"/>
  <c r="S15" s="1"/>
  <c r="T15" s="1"/>
  <c r="Q14"/>
  <c r="Q12"/>
  <c r="Q10"/>
  <c r="S10" s="1"/>
  <c r="T10" s="1"/>
  <c r="Q8"/>
  <c r="S8" s="1"/>
  <c r="T8" s="1"/>
  <c r="Q9"/>
  <c r="S9" s="1"/>
  <c r="T9" s="1"/>
  <c r="P5"/>
  <c r="V5" s="1"/>
  <c r="P1"/>
  <c r="V1" s="1"/>
  <c r="Q26" i="2"/>
  <c r="O62" i="16" s="1"/>
  <c r="S17" i="2"/>
  <c r="Q6"/>
  <c r="O24" i="16" s="1"/>
  <c r="Q3" i="2"/>
  <c r="Q1"/>
  <c r="V8"/>
  <c r="Q8"/>
  <c r="V28"/>
  <c r="Q28"/>
  <c r="V10"/>
  <c r="Q10"/>
  <c r="O32" i="16" s="1"/>
  <c r="Q22" i="2"/>
  <c r="O58" i="16" s="1"/>
  <c r="V25" i="2"/>
  <c r="Q25"/>
  <c r="O61" i="16" s="1"/>
  <c r="Q33" i="2"/>
  <c r="O69" i="16" s="1"/>
  <c r="P7" i="2"/>
  <c r="P9"/>
  <c r="N31" i="16" s="1"/>
  <c r="P18" i="2"/>
  <c r="N43" i="16" s="1"/>
  <c r="N44" s="1"/>
  <c r="P21" i="2"/>
  <c r="V20"/>
  <c r="P23"/>
  <c r="N59" i="16" s="1"/>
  <c r="P27" i="2"/>
  <c r="N63" i="16" s="1"/>
  <c r="P30" i="2"/>
  <c r="N66" i="16" s="1"/>
  <c r="P32" i="2"/>
  <c r="N68" i="16" s="1"/>
  <c r="V1" i="2"/>
  <c r="V3"/>
  <c r="V5"/>
  <c r="O7"/>
  <c r="M29" i="16" s="1"/>
  <c r="S15" i="2"/>
  <c r="Q48" i="16" s="1"/>
  <c r="P19" i="2"/>
  <c r="M51" i="16" l="1"/>
  <c r="S12" i="5"/>
  <c r="O37" i="16"/>
  <c r="S4" i="10"/>
  <c r="O19" i="16"/>
  <c r="P11" i="5"/>
  <c r="M36" i="16"/>
  <c r="P13" i="5"/>
  <c r="M38" i="16"/>
  <c r="V12" i="5"/>
  <c r="N37" i="16"/>
  <c r="S14" i="2"/>
  <c r="O47" i="16"/>
  <c r="S29" i="2"/>
  <c r="O65" i="16"/>
  <c r="P24" i="5"/>
  <c r="M60" i="16"/>
  <c r="V22" i="2"/>
  <c r="N58" i="16"/>
  <c r="S31" i="2"/>
  <c r="O67" i="16"/>
  <c r="S20" i="2"/>
  <c r="O56" i="16"/>
  <c r="S5" i="2"/>
  <c r="M56" i="16"/>
  <c r="M71" s="1"/>
  <c r="M73" s="1"/>
  <c r="M18"/>
  <c r="M20" s="1"/>
  <c r="M30"/>
  <c r="M33" s="1"/>
  <c r="N13"/>
  <c r="N15" s="1"/>
  <c r="M57"/>
  <c r="O48"/>
  <c r="O70"/>
  <c r="M59"/>
  <c r="D71"/>
  <c r="D73" s="1"/>
  <c r="N23"/>
  <c r="N25" s="1"/>
  <c r="Q23" i="2"/>
  <c r="O59" i="16" s="1"/>
  <c r="S25" i="2"/>
  <c r="Q61" i="16" s="1"/>
  <c r="S22" i="2"/>
  <c r="Q58" i="16" s="1"/>
  <c r="S3" i="2"/>
  <c r="S34"/>
  <c r="Q70" i="16" s="1"/>
  <c r="Q32" i="2"/>
  <c r="O68" i="16" s="1"/>
  <c r="S33" i="2"/>
  <c r="Q69" i="16" s="1"/>
  <c r="S10" i="2"/>
  <c r="Q32" i="16" s="1"/>
  <c r="S28" i="2"/>
  <c r="S8"/>
  <c r="Q30" i="16" s="1"/>
  <c r="S1" i="2"/>
  <c r="S6"/>
  <c r="Q24" i="16" s="1"/>
  <c r="T17" i="2"/>
  <c r="S26"/>
  <c r="Q62" i="16" s="1"/>
  <c r="V33" i="2"/>
  <c r="Q7" i="12"/>
  <c r="S7" s="1"/>
  <c r="P3" i="5"/>
  <c r="V8" i="15"/>
  <c r="T3"/>
  <c r="T8"/>
  <c r="T18"/>
  <c r="Q17"/>
  <c r="V7"/>
  <c r="Q7"/>
  <c r="V28"/>
  <c r="Q28"/>
  <c r="O64" i="16" s="1"/>
  <c r="S2" i="15"/>
  <c r="T21"/>
  <c r="T20"/>
  <c r="V21" i="14"/>
  <c r="S2"/>
  <c r="Q14" i="16" s="1"/>
  <c r="Q24" i="14"/>
  <c r="S24" s="1"/>
  <c r="S21" i="5"/>
  <c r="S3" i="10"/>
  <c r="P7" i="5"/>
  <c r="N29" i="16" s="1"/>
  <c r="N33" s="1"/>
  <c r="Q1" i="6"/>
  <c r="S1" s="1"/>
  <c r="V11" i="12"/>
  <c r="T3" i="2"/>
  <c r="P19" i="10"/>
  <c r="Q1" i="12"/>
  <c r="S1" s="1"/>
  <c r="Q11"/>
  <c r="S11" s="1"/>
  <c r="Q18" i="13"/>
  <c r="Q18" i="14"/>
  <c r="T24"/>
  <c r="S16" i="10"/>
  <c r="Q49" i="16" s="1"/>
  <c r="Q3" i="11"/>
  <c r="S3" s="1"/>
  <c r="P19" i="12"/>
  <c r="Q11" i="14"/>
  <c r="V11"/>
  <c r="Q3"/>
  <c r="V3"/>
  <c r="S21"/>
  <c r="Q17"/>
  <c r="P7"/>
  <c r="Q17" i="13"/>
  <c r="O50" i="16" s="1"/>
  <c r="S18" i="13"/>
  <c r="P7"/>
  <c r="Q1"/>
  <c r="V1"/>
  <c r="Q21"/>
  <c r="V21"/>
  <c r="S19"/>
  <c r="Q11"/>
  <c r="V11"/>
  <c r="S3"/>
  <c r="Q19" i="12"/>
  <c r="P21"/>
  <c r="S18"/>
  <c r="S17"/>
  <c r="S3"/>
  <c r="S18" i="11"/>
  <c r="S19"/>
  <c r="V7"/>
  <c r="Q7"/>
  <c r="S21"/>
  <c r="Q5"/>
  <c r="V5"/>
  <c r="S1"/>
  <c r="S11"/>
  <c r="S18" i="10"/>
  <c r="S5"/>
  <c r="P21"/>
  <c r="Q19"/>
  <c r="P7"/>
  <c r="S11"/>
  <c r="S1"/>
  <c r="S5" i="9"/>
  <c r="Q21"/>
  <c r="V21"/>
  <c r="Q18"/>
  <c r="V8"/>
  <c r="Q8"/>
  <c r="S8" s="1"/>
  <c r="T8" s="1"/>
  <c r="S1"/>
  <c r="P19"/>
  <c r="N55" i="16" s="1"/>
  <c r="S14" i="9"/>
  <c r="P11"/>
  <c r="Q7"/>
  <c r="V7"/>
  <c r="S3"/>
  <c r="S18" i="8"/>
  <c r="S3"/>
  <c r="S5"/>
  <c r="P21"/>
  <c r="Q19"/>
  <c r="P7"/>
  <c r="S14"/>
  <c r="S11"/>
  <c r="S1"/>
  <c r="P21" i="7"/>
  <c r="Q19"/>
  <c r="P7"/>
  <c r="S11"/>
  <c r="S5"/>
  <c r="S3"/>
  <c r="S18"/>
  <c r="S14"/>
  <c r="S1"/>
  <c r="P21" i="6"/>
  <c r="N57" i="16" s="1"/>
  <c r="S14" i="6"/>
  <c r="S7"/>
  <c r="Q19"/>
  <c r="V3"/>
  <c r="Q3"/>
  <c r="O18" i="16" s="1"/>
  <c r="O20" s="1"/>
  <c r="S11" i="6"/>
  <c r="Q5"/>
  <c r="V5"/>
  <c r="S19" i="5"/>
  <c r="S30"/>
  <c r="S14"/>
  <c r="Q7"/>
  <c r="V7"/>
  <c r="Q5"/>
  <c r="O23" i="16" s="1"/>
  <c r="O25" s="1"/>
  <c r="Q3" i="5"/>
  <c r="Q1"/>
  <c r="O13" i="16" s="1"/>
  <c r="O15" s="1"/>
  <c r="T1" i="2"/>
  <c r="Q30"/>
  <c r="O66" i="16" s="1"/>
  <c r="V30" i="2"/>
  <c r="Q21"/>
  <c r="V21"/>
  <c r="Q7"/>
  <c r="V7"/>
  <c r="T15"/>
  <c r="Q19"/>
  <c r="Q27"/>
  <c r="O63" i="16" s="1"/>
  <c r="V27" i="2"/>
  <c r="Q18"/>
  <c r="O43" i="16" s="1"/>
  <c r="O44" s="1"/>
  <c r="Q9" i="2"/>
  <c r="O31" i="16" s="1"/>
  <c r="V9" i="2"/>
  <c r="V3" i="5" l="1"/>
  <c r="N18" i="16"/>
  <c r="N20" s="1"/>
  <c r="T5" i="2"/>
  <c r="Q56" i="16"/>
  <c r="T20" i="2"/>
  <c r="Q67" i="16"/>
  <c r="T31" i="2"/>
  <c r="V24" i="5"/>
  <c r="N60" i="16"/>
  <c r="N71" s="1"/>
  <c r="N73" s="1"/>
  <c r="Q24" i="5"/>
  <c r="Q65" i="16"/>
  <c r="T29" i="2"/>
  <c r="Q47" i="16"/>
  <c r="T14" i="2"/>
  <c r="N38" i="16"/>
  <c r="Q13" i="5"/>
  <c r="V13"/>
  <c r="V11"/>
  <c r="N36" i="16"/>
  <c r="N39" s="1"/>
  <c r="Q11" i="5"/>
  <c r="T4" i="10"/>
  <c r="Q19" i="16"/>
  <c r="T12" i="5"/>
  <c r="Q37" i="16"/>
  <c r="O51"/>
  <c r="M39"/>
  <c r="O30"/>
  <c r="S9" i="2"/>
  <c r="Q31" i="16" s="1"/>
  <c r="S27" i="2"/>
  <c r="Q63" i="16" s="1"/>
  <c r="S21" i="2"/>
  <c r="S30"/>
  <c r="Q66" i="16" s="1"/>
  <c r="T26" i="2"/>
  <c r="T6"/>
  <c r="T8"/>
  <c r="T28"/>
  <c r="T10"/>
  <c r="T33"/>
  <c r="S32"/>
  <c r="Q68" i="16" s="1"/>
  <c r="T34" i="2"/>
  <c r="T22"/>
  <c r="T25"/>
  <c r="S23"/>
  <c r="Q59" i="16" s="1"/>
  <c r="S17" i="15"/>
  <c r="S7"/>
  <c r="T2"/>
  <c r="S28"/>
  <c r="Q64" i="16" s="1"/>
  <c r="T2" i="14"/>
  <c r="S18"/>
  <c r="T18" s="1"/>
  <c r="T3" i="10"/>
  <c r="T21" i="5"/>
  <c r="T16" i="10"/>
  <c r="S17" i="14"/>
  <c r="S3"/>
  <c r="S11"/>
  <c r="V7"/>
  <c r="Q7"/>
  <c r="T21"/>
  <c r="T3" i="13"/>
  <c r="S11"/>
  <c r="T19"/>
  <c r="S1"/>
  <c r="V7"/>
  <c r="Q7"/>
  <c r="S21"/>
  <c r="T18"/>
  <c r="S17"/>
  <c r="Q50" i="16" s="1"/>
  <c r="T1" i="12"/>
  <c r="T18"/>
  <c r="Q21"/>
  <c r="V21"/>
  <c r="S19"/>
  <c r="T3"/>
  <c r="T7"/>
  <c r="T17"/>
  <c r="T11"/>
  <c r="T11" i="11"/>
  <c r="T1"/>
  <c r="T21"/>
  <c r="T18"/>
  <c r="S5"/>
  <c r="T3"/>
  <c r="S7"/>
  <c r="T19"/>
  <c r="Q7" i="10"/>
  <c r="V7"/>
  <c r="S19"/>
  <c r="T5"/>
  <c r="T1"/>
  <c r="T11"/>
  <c r="Q21"/>
  <c r="V21"/>
  <c r="T18"/>
  <c r="T3" i="9"/>
  <c r="S7"/>
  <c r="V11"/>
  <c r="Q11"/>
  <c r="T14"/>
  <c r="S21"/>
  <c r="Q19"/>
  <c r="O55" i="16" s="1"/>
  <c r="T1" i="9"/>
  <c r="S18"/>
  <c r="T5"/>
  <c r="Q7" i="8"/>
  <c r="V7"/>
  <c r="S19"/>
  <c r="T5"/>
  <c r="T1"/>
  <c r="T11"/>
  <c r="T14"/>
  <c r="Q21"/>
  <c r="V21"/>
  <c r="T3"/>
  <c r="T18"/>
  <c r="T18" i="7"/>
  <c r="Q7"/>
  <c r="O29" i="16" s="1"/>
  <c r="O33" s="1"/>
  <c r="V7" i="7"/>
  <c r="S19"/>
  <c r="T1"/>
  <c r="T14"/>
  <c r="T3"/>
  <c r="T5"/>
  <c r="T11"/>
  <c r="Q21"/>
  <c r="V21"/>
  <c r="S19" i="6"/>
  <c r="T7"/>
  <c r="T1"/>
  <c r="S3"/>
  <c r="S5"/>
  <c r="T11"/>
  <c r="T14"/>
  <c r="Q21"/>
  <c r="O57" i="16" s="1"/>
  <c r="V21" i="6"/>
  <c r="T19" i="5"/>
  <c r="T30"/>
  <c r="T14"/>
  <c r="S7"/>
  <c r="S5"/>
  <c r="Q23" i="16" s="1"/>
  <c r="Q25" s="1"/>
  <c r="S3" i="5"/>
  <c r="Q18" i="16" s="1"/>
  <c r="Q20" s="1"/>
  <c r="S1" i="5"/>
  <c r="Q13" i="16" s="1"/>
  <c r="Q15" s="1"/>
  <c r="S18" i="2"/>
  <c r="Q43" i="16" s="1"/>
  <c r="Q44" s="1"/>
  <c r="S7" i="2"/>
  <c r="S19"/>
  <c r="O36" i="16" l="1"/>
  <c r="S11" i="5"/>
  <c r="S13"/>
  <c r="O38" i="16"/>
  <c r="S24" i="5"/>
  <c r="O60" i="16"/>
  <c r="O71" s="1"/>
  <c r="O73" s="1"/>
  <c r="Q51"/>
  <c r="T23" i="2"/>
  <c r="T32"/>
  <c r="T30"/>
  <c r="T21"/>
  <c r="T27"/>
  <c r="T9"/>
  <c r="T17" i="15"/>
  <c r="T28"/>
  <c r="T7"/>
  <c r="S7" i="14"/>
  <c r="T11"/>
  <c r="T3"/>
  <c r="T17"/>
  <c r="T17" i="13"/>
  <c r="T21"/>
  <c r="S7"/>
  <c r="T1"/>
  <c r="T11"/>
  <c r="S21" i="12"/>
  <c r="T19"/>
  <c r="T7" i="11"/>
  <c r="T5"/>
  <c r="S7" i="10"/>
  <c r="S21"/>
  <c r="T19"/>
  <c r="T18" i="9"/>
  <c r="S19"/>
  <c r="Q55" i="16" s="1"/>
  <c r="T21" i="9"/>
  <c r="S11"/>
  <c r="T7"/>
  <c r="S7" i="8"/>
  <c r="S21"/>
  <c r="T19"/>
  <c r="S7" i="7"/>
  <c r="Q29" i="16" s="1"/>
  <c r="Q33" s="1"/>
  <c r="S21" i="7"/>
  <c r="T19"/>
  <c r="S21" i="6"/>
  <c r="Q57" i="16" s="1"/>
  <c r="T5" i="6"/>
  <c r="T3"/>
  <c r="T19"/>
  <c r="T7" i="5"/>
  <c r="T5"/>
  <c r="T3"/>
  <c r="T1"/>
  <c r="T19" i="2"/>
  <c r="T18"/>
  <c r="T7"/>
  <c r="Q36" i="16" l="1"/>
  <c r="T11" i="5"/>
  <c r="T24"/>
  <c r="Q60" i="16"/>
  <c r="Q71" s="1"/>
  <c r="Q73" s="1"/>
  <c r="T13" i="5"/>
  <c r="Q38" i="16"/>
  <c r="O39"/>
  <c r="T7" i="14"/>
  <c r="T7" i="13"/>
  <c r="T21" i="12"/>
  <c r="T21" i="10"/>
  <c r="T7"/>
  <c r="T11" i="9"/>
  <c r="T19"/>
  <c r="T21" i="8"/>
  <c r="T7"/>
  <c r="T21" i="7"/>
  <c r="T7"/>
  <c r="T21" i="6"/>
  <c r="Q39" i="16" l="1"/>
</calcChain>
</file>

<file path=xl/comments1.xml><?xml version="1.0" encoding="utf-8"?>
<comments xmlns="http://schemas.openxmlformats.org/spreadsheetml/2006/main">
  <authors>
    <author>Autor</author>
  </authors>
  <commentList>
    <comment ref="D9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 REACTIVOS QUIMICOS, RIESGO DE CAJA , FERIADOS, 
</t>
        </r>
      </text>
    </comment>
    <comment ref="K9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Turno Amanecida, movilidad, Devolución y Bonificacion</t>
        </r>
      </text>
    </comment>
  </commentList>
</comments>
</file>

<file path=xl/sharedStrings.xml><?xml version="1.0" encoding="utf-8"?>
<sst xmlns="http://schemas.openxmlformats.org/spreadsheetml/2006/main" count="843" uniqueCount="106">
  <si>
    <t>Profuturo</t>
  </si>
  <si>
    <t>SNP</t>
  </si>
  <si>
    <t>Prima</t>
  </si>
  <si>
    <t>Reategui Pezo Alejandro</t>
  </si>
  <si>
    <t>Linares Garcia Luz Marina</t>
  </si>
  <si>
    <t>Navarro Villacrez Clever</t>
  </si>
  <si>
    <t>Rios Reategui Jose</t>
  </si>
  <si>
    <t>Salazar Silvano Livand</t>
  </si>
  <si>
    <t>Tanchiva Meza Percy</t>
  </si>
  <si>
    <t>Ahuanari Gutierrez Silver</t>
  </si>
  <si>
    <t>Chavez Rios David Esau</t>
  </si>
  <si>
    <t>Del Aguila Aspajo Roger</t>
  </si>
  <si>
    <t>Marina Vilchez Eli</t>
  </si>
  <si>
    <t>Panduro Hurtado Miguel</t>
  </si>
  <si>
    <t>Rengifo Isuiza Eber</t>
  </si>
  <si>
    <t>Silva Vela Ebler</t>
  </si>
  <si>
    <t>Vasquez Silva Erick</t>
  </si>
  <si>
    <t xml:space="preserve">Aguirre Rios Javier    </t>
  </si>
  <si>
    <t>Integra</t>
  </si>
  <si>
    <t>Habitat</t>
  </si>
  <si>
    <t>Vela Santana Stefany Paola</t>
  </si>
  <si>
    <t>Anglas Arroyo Teobaldo Antonio</t>
  </si>
  <si>
    <t>Ruiz Gallado Robert David</t>
  </si>
  <si>
    <t>Vigil Alvarado Jorge Enrique</t>
  </si>
  <si>
    <t>Rodriguez Angulo Cesar A</t>
  </si>
  <si>
    <t>Anglas Arroyo Teobaldo A.</t>
  </si>
  <si>
    <t>Escalante Huamani Johann</t>
  </si>
  <si>
    <t>Alvarado Torres Yuri</t>
  </si>
  <si>
    <t xml:space="preserve">Perez Del Aguila Jose </t>
  </si>
  <si>
    <t>Paima Rios Nixon</t>
  </si>
  <si>
    <t>Ramirez Aguirre Meysel</t>
  </si>
  <si>
    <t>Chavez Suarez Danny</t>
  </si>
  <si>
    <t>Robles Macedo Franco</t>
  </si>
  <si>
    <t>Aguirre Ríos Javier</t>
  </si>
  <si>
    <t>Ríos Reátegui Jose Luis</t>
  </si>
  <si>
    <t>Apagueño Cachique Olman</t>
  </si>
  <si>
    <t>Mucushua Laiche Jesús Martin</t>
  </si>
  <si>
    <t>Tuanama Cora Charles Ausberto</t>
  </si>
  <si>
    <t xml:space="preserve">Chavez Suarez Danny </t>
  </si>
  <si>
    <t>Ahuanari Gutierrez Silver Quevin</t>
  </si>
  <si>
    <t>Pérez Del Aguila Jose</t>
  </si>
  <si>
    <t>Paima Ríos Nixon</t>
  </si>
  <si>
    <t>Ruiz Gallardo Robert David</t>
  </si>
  <si>
    <t>Vasquez Silva Erick Gian Carlo</t>
  </si>
  <si>
    <t>Chavez Ríos David Esau</t>
  </si>
  <si>
    <t>Huaycama Laulate Fredy</t>
  </si>
  <si>
    <t>Marina Vilchez Elí</t>
  </si>
  <si>
    <t>Ahuanari Gutierrez Silver Q.</t>
  </si>
  <si>
    <t>Mucushua Laiche Jesús M.</t>
  </si>
  <si>
    <t>Tuanama Cora Charles A.</t>
  </si>
  <si>
    <t>Vasquez Silva Erick Gian C.</t>
  </si>
  <si>
    <t>Linares Garcia Luz M.</t>
  </si>
  <si>
    <t>Vela Santana Stefany P.</t>
  </si>
  <si>
    <t>Ruiz Gallardo Robert D.</t>
  </si>
  <si>
    <t>Vasquez Silva Erick G.</t>
  </si>
  <si>
    <t>Vigil Alvarado Jorge E.</t>
  </si>
  <si>
    <t>Sampertegui Campos Eladio</t>
  </si>
  <si>
    <t>Pro-Futuro</t>
  </si>
  <si>
    <t>López Usseglio Julio Christian</t>
  </si>
  <si>
    <t>*</t>
  </si>
  <si>
    <t>RESUMEN DE LAS REMUNERACIONES - 2015</t>
  </si>
  <si>
    <t>NIVELES</t>
  </si>
  <si>
    <t>HOJA DETALLADA</t>
  </si>
  <si>
    <t>TOTAL BRUTO</t>
  </si>
  <si>
    <t>TOTAL BRUTO AFECTO</t>
  </si>
  <si>
    <t>APORTE PATRONAL</t>
  </si>
  <si>
    <t>Basico</t>
  </si>
  <si>
    <t>Bonificación</t>
  </si>
  <si>
    <t>Reintegro de Asignación Familiar</t>
  </si>
  <si>
    <t>INC AFP 10.23%</t>
  </si>
  <si>
    <t>INC AFP 3%- ONP 3.3%</t>
  </si>
  <si>
    <t>Gratificacion</t>
  </si>
  <si>
    <t>Asignac. Vacacional</t>
  </si>
  <si>
    <t>Liquidaciones</t>
  </si>
  <si>
    <t>Conceptos no afecto</t>
  </si>
  <si>
    <t xml:space="preserve">Otros (Encargatura, Comp. Vacaciones) </t>
  </si>
  <si>
    <t>EsSalud</t>
  </si>
  <si>
    <t>SCTR</t>
  </si>
  <si>
    <t>Total Aporte</t>
  </si>
  <si>
    <t>EMPLEADOS ESTABLES</t>
  </si>
  <si>
    <t>Funcionario</t>
  </si>
  <si>
    <t>PLANTA DE TRATAMIENTO DE AGUAS RESIDUALES - PTAR</t>
  </si>
  <si>
    <t>TOTAL</t>
  </si>
  <si>
    <t>Profesionales</t>
  </si>
  <si>
    <t>Administrativos</t>
  </si>
  <si>
    <t>OBREROS ESTABLES</t>
  </si>
  <si>
    <t>Operarios</t>
  </si>
  <si>
    <t>Técnicos</t>
  </si>
  <si>
    <t>EMPLEADOS CONTRATADOS</t>
  </si>
  <si>
    <t>OBREROS CONTRATADOS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</si>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</sst>
</file>

<file path=xl/styles.xml><?xml version="1.0" encoding="utf-8"?>
<styleSheet xmlns="http://schemas.openxmlformats.org/spreadsheetml/2006/main">
  <numFmts count="1">
    <numFmt numFmtId="164" formatCode="00"/>
  </numFmts>
  <fonts count="14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name val="Comic Sans MS"/>
      <family val="4"/>
    </font>
    <font>
      <b/>
      <sz val="8"/>
      <name val="Comic Sans MS"/>
      <family val="4"/>
    </font>
    <font>
      <u/>
      <sz val="8"/>
      <name val="Comic Sans MS"/>
      <family val="4"/>
    </font>
    <font>
      <sz val="8"/>
      <name val="Century Gothic"/>
      <family val="2"/>
    </font>
    <font>
      <sz val="8"/>
      <color theme="1"/>
      <name val="Century Gothic"/>
      <family val="2"/>
    </font>
    <font>
      <b/>
      <u/>
      <sz val="12"/>
      <name val="Century Gothic"/>
      <family val="2"/>
    </font>
    <font>
      <b/>
      <sz val="8"/>
      <name val="Century Gothic"/>
      <family val="2"/>
    </font>
    <font>
      <b/>
      <u/>
      <sz val="8"/>
      <name val="Century Gothic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/>
    <xf numFmtId="0" fontId="0" fillId="3" borderId="0" xfId="0" applyFill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right"/>
    </xf>
    <xf numFmtId="2" fontId="1" fillId="3" borderId="1" xfId="0" applyNumberFormat="1" applyFont="1" applyFill="1" applyBorder="1" applyAlignment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 applyBorder="1"/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164" fontId="3" fillId="3" borderId="3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right"/>
    </xf>
    <xf numFmtId="4" fontId="1" fillId="3" borderId="5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right"/>
    </xf>
    <xf numFmtId="4" fontId="1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right"/>
    </xf>
    <xf numFmtId="0" fontId="1" fillId="7" borderId="4" xfId="0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/>
    <xf numFmtId="0" fontId="3" fillId="4" borderId="6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right"/>
    </xf>
    <xf numFmtId="4" fontId="3" fillId="2" borderId="6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/>
    <xf numFmtId="0" fontId="3" fillId="4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3" fillId="4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4" fontId="4" fillId="2" borderId="7" xfId="0" applyNumberFormat="1" applyFont="1" applyFill="1" applyBorder="1" applyAlignment="1">
      <alignment horizontal="right"/>
    </xf>
    <xf numFmtId="4" fontId="3" fillId="2" borderId="7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/>
    <xf numFmtId="0" fontId="1" fillId="4" borderId="6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4" fontId="1" fillId="3" borderId="6" xfId="0" applyNumberFormat="1" applyFont="1" applyFill="1" applyBorder="1" applyAlignment="1">
      <alignment horizontal="right"/>
    </xf>
    <xf numFmtId="0" fontId="1" fillId="4" borderId="7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4" fontId="2" fillId="3" borderId="7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164" fontId="3" fillId="3" borderId="7" xfId="0" applyNumberFormat="1" applyFont="1" applyFill="1" applyBorder="1" applyAlignment="1">
      <alignment horizontal="center"/>
    </xf>
    <xf numFmtId="0" fontId="3" fillId="3" borderId="7" xfId="0" applyFont="1" applyFill="1" applyBorder="1" applyAlignment="1"/>
    <xf numFmtId="164" fontId="3" fillId="3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/>
    <xf numFmtId="0" fontId="3" fillId="4" borderId="8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4" fontId="4" fillId="2" borderId="8" xfId="0" applyNumberFormat="1" applyFont="1" applyFill="1" applyBorder="1" applyAlignment="1">
      <alignment horizontal="right"/>
    </xf>
    <xf numFmtId="4" fontId="3" fillId="2" borderId="8" xfId="0" applyNumberFormat="1" applyFont="1" applyFill="1" applyBorder="1" applyAlignment="1">
      <alignment horizontal="right"/>
    </xf>
    <xf numFmtId="164" fontId="1" fillId="3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4" fontId="2" fillId="3" borderId="8" xfId="0" applyNumberFormat="1" applyFont="1" applyFill="1" applyBorder="1" applyAlignment="1">
      <alignment horizontal="right"/>
    </xf>
    <xf numFmtId="4" fontId="1" fillId="3" borderId="8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/>
    <xf numFmtId="0" fontId="3" fillId="4" borderId="0" xfId="0" applyFont="1" applyFill="1" applyAlignment="1">
      <alignment horizontal="center"/>
    </xf>
    <xf numFmtId="0" fontId="0" fillId="0" borderId="2" xfId="0" applyBorder="1"/>
    <xf numFmtId="0" fontId="3" fillId="5" borderId="0" xfId="0" applyFont="1" applyFill="1" applyAlignment="1">
      <alignment horizontal="center"/>
    </xf>
    <xf numFmtId="4" fontId="4" fillId="2" borderId="0" xfId="0" applyNumberFormat="1" applyFont="1" applyFill="1" applyAlignment="1">
      <alignment horizontal="right"/>
    </xf>
    <xf numFmtId="4" fontId="3" fillId="2" borderId="0" xfId="0" applyNumberFormat="1" applyFont="1" applyFill="1" applyAlignment="1">
      <alignment horizontal="right"/>
    </xf>
    <xf numFmtId="4" fontId="3" fillId="2" borderId="0" xfId="0" applyNumberFormat="1" applyFont="1" applyFill="1" applyAlignment="1">
      <alignment horizontal="center"/>
    </xf>
    <xf numFmtId="0" fontId="1" fillId="3" borderId="1" xfId="0" applyFont="1" applyFill="1" applyBorder="1" applyAlignment="1"/>
    <xf numFmtId="164" fontId="3" fillId="3" borderId="0" xfId="0" applyNumberFormat="1" applyFont="1" applyFill="1" applyAlignment="1">
      <alignment horizontal="center"/>
    </xf>
    <xf numFmtId="0" fontId="0" fillId="0" borderId="6" xfId="0" applyBorder="1"/>
    <xf numFmtId="16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/>
    <xf numFmtId="0" fontId="6" fillId="3" borderId="1" xfId="0" applyFont="1" applyFill="1" applyBorder="1" applyAlignment="1">
      <alignment horizontal="left"/>
    </xf>
    <xf numFmtId="4" fontId="7" fillId="3" borderId="1" xfId="0" applyNumberFormat="1" applyFont="1" applyFill="1" applyBorder="1"/>
    <xf numFmtId="0" fontId="6" fillId="3" borderId="0" xfId="0" applyFont="1" applyFill="1"/>
    <xf numFmtId="0" fontId="9" fillId="8" borderId="1" xfId="0" applyFont="1" applyFill="1" applyBorder="1" applyAlignment="1">
      <alignment horizontal="center" vertical="center" wrapText="1"/>
    </xf>
    <xf numFmtId="0" fontId="0" fillId="3" borderId="0" xfId="0" applyFill="1" applyBorder="1"/>
    <xf numFmtId="164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/>
    <xf numFmtId="4" fontId="7" fillId="3" borderId="0" xfId="0" applyNumberFormat="1" applyFont="1" applyFill="1" applyBorder="1"/>
    <xf numFmtId="4" fontId="7" fillId="3" borderId="9" xfId="0" applyNumberFormat="1" applyFont="1" applyFill="1" applyBorder="1"/>
    <xf numFmtId="4" fontId="9" fillId="3" borderId="12" xfId="0" applyNumberFormat="1" applyFont="1" applyFill="1" applyBorder="1"/>
    <xf numFmtId="0" fontId="9" fillId="3" borderId="0" xfId="0" applyFont="1" applyFill="1"/>
    <xf numFmtId="0" fontId="10" fillId="3" borderId="0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4" fontId="13" fillId="8" borderId="12" xfId="0" applyNumberFormat="1" applyFont="1" applyFill="1" applyBorder="1"/>
    <xf numFmtId="0" fontId="13" fillId="3" borderId="0" xfId="0" applyFont="1" applyFill="1"/>
    <xf numFmtId="4" fontId="0" fillId="3" borderId="0" xfId="0" applyNumberFormat="1" applyFill="1"/>
    <xf numFmtId="0" fontId="10" fillId="3" borderId="0" xfId="0" applyFont="1" applyFill="1" applyAlignment="1">
      <alignment horizontal="center"/>
    </xf>
    <xf numFmtId="164" fontId="9" fillId="3" borderId="10" xfId="0" applyNumberFormat="1" applyFont="1" applyFill="1" applyBorder="1" applyAlignment="1">
      <alignment horizontal="center"/>
    </xf>
    <xf numFmtId="164" fontId="9" fillId="3" borderId="11" xfId="0" applyNumberFormat="1" applyFont="1" applyFill="1" applyBorder="1" applyAlignment="1">
      <alignment horizontal="center"/>
    </xf>
    <xf numFmtId="164" fontId="13" fillId="8" borderId="10" xfId="0" applyNumberFormat="1" applyFont="1" applyFill="1" applyBorder="1" applyAlignment="1">
      <alignment horizontal="center"/>
    </xf>
    <xf numFmtId="164" fontId="13" fillId="8" borderId="11" xfId="0" applyNumberFormat="1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9" fillId="8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CCCC"/>
      <color rgb="FFD7E4B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152400</xdr:rowOff>
    </xdr:from>
    <xdr:to>
      <xdr:col>2</xdr:col>
      <xdr:colOff>47625</xdr:colOff>
      <xdr:row>3</xdr:row>
      <xdr:rowOff>180975</xdr:rowOff>
    </xdr:to>
    <xdr:pic>
      <xdr:nvPicPr>
        <xdr:cNvPr id="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52400"/>
          <a:ext cx="20669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mPers-Iqts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e-15"/>
      <sheetName val="Feb-15"/>
      <sheetName val="Mar-15"/>
      <sheetName val="Abr-15"/>
      <sheetName val="May-15"/>
      <sheetName val="Jun-15"/>
      <sheetName val="Jul-15"/>
      <sheetName val="Ago-15"/>
      <sheetName val="Set-15"/>
      <sheetName val="Oct-15"/>
      <sheetName val="Nov-15"/>
      <sheetName val="Dic-15"/>
      <sheetName val="Res"/>
      <sheetName val="formu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63">
          <cell r="M363">
            <v>8669001.061999999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4"/>
  <sheetViews>
    <sheetView workbookViewId="0">
      <selection activeCell="L1" sqref="L1:L1048576"/>
    </sheetView>
  </sheetViews>
  <sheetFormatPr baseColWidth="10" defaultRowHeight="15"/>
  <cols>
    <col min="1" max="1" width="2.85546875" customWidth="1"/>
    <col min="2" max="2" width="23.42578125" customWidth="1"/>
    <col min="3" max="3" width="4" customWidth="1"/>
    <col min="4" max="4" width="3.7109375" customWidth="1"/>
    <col min="5" max="5" width="7.7109375" customWidth="1"/>
    <col min="6" max="7" width="6.7109375" customWidth="1"/>
    <col min="8" max="8" width="6.5703125" customWidth="1"/>
    <col min="9" max="9" width="6" customWidth="1"/>
    <col min="10" max="10" width="5.140625" customWidth="1"/>
    <col min="11" max="12" width="7" customWidth="1"/>
    <col min="13" max="13" width="6.42578125" customWidth="1"/>
    <col min="14" max="14" width="7.5703125" customWidth="1"/>
    <col min="15" max="15" width="7.7109375" customWidth="1"/>
    <col min="16" max="16" width="7.85546875" customWidth="1"/>
    <col min="17" max="17" width="6.7109375" customWidth="1"/>
    <col min="18" max="18" width="4.28515625" customWidth="1"/>
    <col min="19" max="19" width="6.7109375" customWidth="1"/>
    <col min="20" max="20" width="7.85546875" customWidth="1"/>
    <col min="21" max="21" width="6.7109375" customWidth="1"/>
    <col min="22" max="22" width="7" customWidth="1"/>
  </cols>
  <sheetData>
    <row r="1" spans="1:22" ht="15.75" customHeight="1">
      <c r="A1" s="1">
        <v>1</v>
      </c>
      <c r="B1" s="97" t="s">
        <v>17</v>
      </c>
      <c r="C1" s="3">
        <v>231</v>
      </c>
      <c r="D1" s="4">
        <v>5</v>
      </c>
      <c r="E1" s="5">
        <v>2241</v>
      </c>
      <c r="F1" s="6"/>
      <c r="G1" s="6"/>
      <c r="H1" s="6"/>
      <c r="I1" s="6"/>
      <c r="J1" s="6"/>
      <c r="K1" s="6"/>
      <c r="L1" s="6"/>
      <c r="M1" s="6"/>
      <c r="N1" s="6">
        <v>1054</v>
      </c>
      <c r="O1" s="6">
        <f t="shared" ref="O1:O10" si="0">SUM(E1:N1)</f>
        <v>3295</v>
      </c>
      <c r="P1" s="6">
        <f>SUM(E1:N1)-M1-J1</f>
        <v>3295</v>
      </c>
      <c r="Q1" s="6">
        <f t="shared" ref="Q1:Q10" si="1">P1*9%</f>
        <v>296.55</v>
      </c>
      <c r="R1" s="6"/>
      <c r="S1" s="6">
        <f t="shared" ref="S1:S10" si="2">SUM(Q1:R1)</f>
        <v>296.55</v>
      </c>
      <c r="T1" s="5">
        <f t="shared" ref="T1:T10" si="3">O1+S1</f>
        <v>3591.55</v>
      </c>
      <c r="U1" s="7" t="s">
        <v>0</v>
      </c>
      <c r="V1" s="8">
        <f>+P1*12.92%</f>
        <v>425.71400000000006</v>
      </c>
    </row>
    <row r="2" spans="1:22" ht="15.75" customHeight="1" thickBot="1">
      <c r="A2" s="53">
        <v>1</v>
      </c>
      <c r="B2" s="54" t="s">
        <v>56</v>
      </c>
      <c r="C2" s="65"/>
      <c r="D2" s="66"/>
      <c r="E2" s="67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"/>
      <c r="R2" s="6"/>
      <c r="S2" s="6"/>
      <c r="T2" s="5"/>
      <c r="U2" s="7"/>
      <c r="V2" s="8"/>
    </row>
    <row r="3" spans="1:22">
      <c r="A3" s="81">
        <v>1</v>
      </c>
      <c r="B3" s="82" t="s">
        <v>3</v>
      </c>
      <c r="C3" s="83">
        <v>85</v>
      </c>
      <c r="D3" s="84">
        <v>5</v>
      </c>
      <c r="E3" s="85">
        <v>2241</v>
      </c>
      <c r="F3" s="86">
        <f>75+250</f>
        <v>325</v>
      </c>
      <c r="G3" s="86"/>
      <c r="H3" s="86"/>
      <c r="I3" s="86"/>
      <c r="J3" s="86"/>
      <c r="K3" s="86"/>
      <c r="L3" s="86"/>
      <c r="M3" s="86"/>
      <c r="N3" s="86"/>
      <c r="O3" s="86">
        <f t="shared" si="0"/>
        <v>2566</v>
      </c>
      <c r="P3" s="86">
        <f>SUM(E3:N3)-M3-J3</f>
        <v>2566</v>
      </c>
      <c r="Q3" s="6">
        <f t="shared" si="1"/>
        <v>230.94</v>
      </c>
      <c r="R3" s="6"/>
      <c r="S3" s="6">
        <f t="shared" si="2"/>
        <v>230.94</v>
      </c>
      <c r="T3" s="5">
        <f t="shared" si="3"/>
        <v>2796.94</v>
      </c>
      <c r="U3" s="7" t="s">
        <v>2</v>
      </c>
      <c r="V3" s="8">
        <f>+P3*12.83%</f>
        <v>329.21780000000001</v>
      </c>
    </row>
    <row r="4" spans="1:22" ht="16.5" thickBot="1">
      <c r="A4" s="73">
        <v>2</v>
      </c>
      <c r="B4" s="74" t="s">
        <v>56</v>
      </c>
      <c r="C4" s="59"/>
      <c r="D4" s="60"/>
      <c r="E4" s="61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"/>
      <c r="R4" s="6"/>
      <c r="S4" s="6"/>
      <c r="T4" s="5"/>
      <c r="U4" s="7"/>
      <c r="V4" s="8"/>
    </row>
    <row r="5" spans="1:22">
      <c r="A5" s="31">
        <v>1</v>
      </c>
      <c r="B5" s="32" t="s">
        <v>4</v>
      </c>
      <c r="C5" s="33">
        <v>41</v>
      </c>
      <c r="D5" s="34">
        <v>5</v>
      </c>
      <c r="E5" s="35">
        <v>1789</v>
      </c>
      <c r="F5" s="36">
        <f>75+150</f>
        <v>225</v>
      </c>
      <c r="G5" s="36"/>
      <c r="H5" s="36"/>
      <c r="I5" s="36"/>
      <c r="J5" s="36"/>
      <c r="K5" s="36"/>
      <c r="L5" s="36"/>
      <c r="M5" s="36"/>
      <c r="N5" s="36">
        <v>110</v>
      </c>
      <c r="O5" s="36">
        <f t="shared" si="0"/>
        <v>2124</v>
      </c>
      <c r="P5" s="36">
        <f t="shared" ref="P5:P10" si="4">SUM(E5:N5)-M5-J5</f>
        <v>2124</v>
      </c>
      <c r="Q5" s="6">
        <f t="shared" si="1"/>
        <v>191.16</v>
      </c>
      <c r="R5" s="6"/>
      <c r="S5" s="6">
        <f t="shared" si="2"/>
        <v>191.16</v>
      </c>
      <c r="T5" s="5">
        <f t="shared" si="3"/>
        <v>2315.16</v>
      </c>
      <c r="U5" s="7" t="s">
        <v>0</v>
      </c>
      <c r="V5" s="8">
        <f>+P5*12.92%</f>
        <v>274.42080000000004</v>
      </c>
    </row>
    <row r="6" spans="1:22" ht="15.75" thickBot="1">
      <c r="A6" s="37">
        <v>2</v>
      </c>
      <c r="B6" s="42" t="s">
        <v>24</v>
      </c>
      <c r="C6" s="38">
        <v>61</v>
      </c>
      <c r="D6" s="39">
        <v>5</v>
      </c>
      <c r="E6" s="40">
        <v>1951</v>
      </c>
      <c r="F6" s="41"/>
      <c r="G6" s="41"/>
      <c r="H6" s="41"/>
      <c r="I6" s="41"/>
      <c r="J6" s="41"/>
      <c r="K6" s="41"/>
      <c r="L6" s="41"/>
      <c r="M6" s="41"/>
      <c r="N6" s="41"/>
      <c r="O6" s="41">
        <f t="shared" si="0"/>
        <v>1951</v>
      </c>
      <c r="P6" s="41">
        <f t="shared" si="4"/>
        <v>1951</v>
      </c>
      <c r="Q6" s="6">
        <f t="shared" si="1"/>
        <v>175.59</v>
      </c>
      <c r="R6" s="6"/>
      <c r="S6" s="6">
        <f t="shared" si="2"/>
        <v>175.59</v>
      </c>
      <c r="T6" s="5">
        <f t="shared" si="3"/>
        <v>2126.59</v>
      </c>
      <c r="U6" s="7" t="s">
        <v>18</v>
      </c>
      <c r="V6" s="8">
        <f>+P6*12.78%</f>
        <v>249.33779999999999</v>
      </c>
    </row>
    <row r="7" spans="1:22">
      <c r="A7" s="31">
        <v>1</v>
      </c>
      <c r="B7" s="32" t="s">
        <v>5</v>
      </c>
      <c r="C7" s="33">
        <v>67</v>
      </c>
      <c r="D7" s="34">
        <v>5</v>
      </c>
      <c r="E7" s="35">
        <v>1899</v>
      </c>
      <c r="F7" s="36">
        <f>75+300</f>
        <v>375</v>
      </c>
      <c r="G7" s="36"/>
      <c r="H7" s="36"/>
      <c r="I7" s="36">
        <v>18.55</v>
      </c>
      <c r="J7" s="36"/>
      <c r="K7" s="36"/>
      <c r="L7" s="36"/>
      <c r="M7" s="36"/>
      <c r="N7" s="36"/>
      <c r="O7" s="36">
        <f t="shared" si="0"/>
        <v>2292.5500000000002</v>
      </c>
      <c r="P7" s="36">
        <f t="shared" si="4"/>
        <v>2292.5500000000002</v>
      </c>
      <c r="Q7" s="6">
        <f t="shared" si="1"/>
        <v>206.3295</v>
      </c>
      <c r="R7" s="6"/>
      <c r="S7" s="6">
        <f t="shared" si="2"/>
        <v>206.3295</v>
      </c>
      <c r="T7" s="5">
        <f t="shared" si="3"/>
        <v>2498.8795</v>
      </c>
      <c r="U7" s="7" t="s">
        <v>0</v>
      </c>
      <c r="V7" s="8">
        <f>+P7*12.92%</f>
        <v>296.19746000000004</v>
      </c>
    </row>
    <row r="8" spans="1:22">
      <c r="A8" s="1">
        <v>2</v>
      </c>
      <c r="B8" s="2" t="s">
        <v>6</v>
      </c>
      <c r="C8" s="3">
        <v>42</v>
      </c>
      <c r="D8" s="4">
        <v>5</v>
      </c>
      <c r="E8" s="5">
        <v>1666</v>
      </c>
      <c r="F8" s="6">
        <f>75+250</f>
        <v>325</v>
      </c>
      <c r="G8" s="6"/>
      <c r="H8" s="6"/>
      <c r="I8" s="6"/>
      <c r="J8" s="6"/>
      <c r="K8" s="6">
        <v>2207</v>
      </c>
      <c r="L8" s="6"/>
      <c r="M8" s="6"/>
      <c r="N8" s="6">
        <v>466</v>
      </c>
      <c r="O8" s="6">
        <f t="shared" si="0"/>
        <v>4664</v>
      </c>
      <c r="P8" s="6">
        <f t="shared" si="4"/>
        <v>4664</v>
      </c>
      <c r="Q8" s="6">
        <f t="shared" si="1"/>
        <v>419.76</v>
      </c>
      <c r="R8" s="6"/>
      <c r="S8" s="6">
        <f t="shared" si="2"/>
        <v>419.76</v>
      </c>
      <c r="T8" s="5">
        <f t="shared" si="3"/>
        <v>5083.76</v>
      </c>
      <c r="U8" s="7" t="s">
        <v>18</v>
      </c>
      <c r="V8" s="8">
        <f>+P8*12.78%</f>
        <v>596.05920000000003</v>
      </c>
    </row>
    <row r="9" spans="1:22">
      <c r="A9" s="1">
        <v>3</v>
      </c>
      <c r="B9" s="2" t="s">
        <v>7</v>
      </c>
      <c r="C9" s="3">
        <v>41</v>
      </c>
      <c r="D9" s="4">
        <v>5</v>
      </c>
      <c r="E9" s="5">
        <v>1727</v>
      </c>
      <c r="F9" s="6">
        <f>75+150</f>
        <v>225</v>
      </c>
      <c r="G9" s="6"/>
      <c r="H9" s="6"/>
      <c r="I9" s="6"/>
      <c r="J9" s="6"/>
      <c r="K9" s="6"/>
      <c r="L9" s="6"/>
      <c r="M9" s="6"/>
      <c r="N9" s="6">
        <v>121</v>
      </c>
      <c r="O9" s="6">
        <f t="shared" si="0"/>
        <v>2073</v>
      </c>
      <c r="P9" s="6">
        <f t="shared" si="4"/>
        <v>2073</v>
      </c>
      <c r="Q9" s="6">
        <f t="shared" si="1"/>
        <v>186.57</v>
      </c>
      <c r="R9" s="6"/>
      <c r="S9" s="6">
        <f t="shared" si="2"/>
        <v>186.57</v>
      </c>
      <c r="T9" s="5">
        <f t="shared" si="3"/>
        <v>2259.5700000000002</v>
      </c>
      <c r="U9" s="7" t="s">
        <v>2</v>
      </c>
      <c r="V9" s="8">
        <f>+P9*12.83%</f>
        <v>265.96589999999998</v>
      </c>
    </row>
    <row r="10" spans="1:22" ht="15.75" thickBot="1">
      <c r="A10" s="37">
        <v>4</v>
      </c>
      <c r="B10" s="42" t="s">
        <v>8</v>
      </c>
      <c r="C10" s="38">
        <v>40</v>
      </c>
      <c r="D10" s="39">
        <v>5</v>
      </c>
      <c r="E10" s="40">
        <v>1951</v>
      </c>
      <c r="F10" s="41">
        <f>75+202.6</f>
        <v>277.60000000000002</v>
      </c>
      <c r="G10" s="41"/>
      <c r="H10" s="41"/>
      <c r="I10" s="41"/>
      <c r="J10" s="41"/>
      <c r="K10" s="41"/>
      <c r="L10" s="41"/>
      <c r="M10" s="41"/>
      <c r="N10" s="41"/>
      <c r="O10" s="41">
        <f t="shared" si="0"/>
        <v>2228.6</v>
      </c>
      <c r="P10" s="41">
        <f t="shared" si="4"/>
        <v>2228.6</v>
      </c>
      <c r="Q10" s="6">
        <f t="shared" si="1"/>
        <v>200.57399999999998</v>
      </c>
      <c r="R10" s="6"/>
      <c r="S10" s="6">
        <f t="shared" si="2"/>
        <v>200.57399999999998</v>
      </c>
      <c r="T10" s="5">
        <f t="shared" si="3"/>
        <v>2429.174</v>
      </c>
      <c r="U10" s="7" t="s">
        <v>18</v>
      </c>
      <c r="V10" s="8">
        <f>+P10*12.78%</f>
        <v>284.81507999999997</v>
      </c>
    </row>
    <row r="11" spans="1:22">
      <c r="A11" s="47">
        <v>1</v>
      </c>
      <c r="B11" s="48" t="s">
        <v>35</v>
      </c>
      <c r="C11" s="65"/>
      <c r="D11" s="66"/>
      <c r="E11" s="67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"/>
      <c r="R11" s="6"/>
      <c r="S11" s="6"/>
      <c r="T11" s="5"/>
      <c r="U11" s="7"/>
      <c r="V11" s="8"/>
    </row>
    <row r="12" spans="1:22">
      <c r="A12" s="22">
        <v>2</v>
      </c>
      <c r="B12" s="23" t="s">
        <v>36</v>
      </c>
      <c r="C12" s="65"/>
      <c r="D12" s="66"/>
      <c r="E12" s="67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"/>
      <c r="R12" s="6"/>
      <c r="S12" s="6"/>
      <c r="T12" s="5"/>
      <c r="U12" s="7"/>
      <c r="V12" s="8"/>
    </row>
    <row r="13" spans="1:22" ht="15.75" thickBot="1">
      <c r="A13" s="53">
        <v>3</v>
      </c>
      <c r="B13" s="54" t="s">
        <v>37</v>
      </c>
      <c r="C13" s="69"/>
      <c r="D13" s="70"/>
      <c r="E13" s="71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6"/>
      <c r="R13" s="6"/>
      <c r="S13" s="6"/>
      <c r="T13" s="5"/>
      <c r="U13" s="7"/>
      <c r="V13" s="8"/>
    </row>
    <row r="14" spans="1:22">
      <c r="A14" s="31">
        <v>1</v>
      </c>
      <c r="B14" s="32" t="s">
        <v>31</v>
      </c>
      <c r="C14" s="43"/>
      <c r="D14" s="44"/>
      <c r="E14" s="45">
        <v>1645.8</v>
      </c>
      <c r="F14" s="45"/>
      <c r="G14" s="45"/>
      <c r="H14" s="45"/>
      <c r="I14" s="45"/>
      <c r="J14" s="45"/>
      <c r="K14" s="45"/>
      <c r="L14" s="45"/>
      <c r="M14" s="45"/>
      <c r="N14" s="45"/>
      <c r="O14" s="36">
        <f t="shared" ref="O14:O23" si="5">SUM(E14:N14)</f>
        <v>1645.8</v>
      </c>
      <c r="P14" s="36">
        <f>SUM(E14:N14)-M14-J14</f>
        <v>1645.8</v>
      </c>
      <c r="Q14" s="6">
        <f t="shared" ref="Q14:Q23" si="6">P14*9%</f>
        <v>148.12199999999999</v>
      </c>
      <c r="R14" s="11"/>
      <c r="S14" s="6">
        <f t="shared" ref="S14:S23" si="7">SUM(Q14:R14)</f>
        <v>148.12199999999999</v>
      </c>
      <c r="T14" s="5">
        <f t="shared" ref="T14:T23" si="8">O14+S14</f>
        <v>1793.922</v>
      </c>
      <c r="U14" s="10" t="s">
        <v>19</v>
      </c>
      <c r="V14" s="12">
        <f>164.58+21.89+7.74</f>
        <v>194.21000000000004</v>
      </c>
    </row>
    <row r="15" spans="1:22">
      <c r="A15" s="1">
        <v>2</v>
      </c>
      <c r="B15" s="2" t="s">
        <v>26</v>
      </c>
      <c r="C15" s="13"/>
      <c r="D15" s="14"/>
      <c r="E15" s="11">
        <v>2000</v>
      </c>
      <c r="F15" s="11"/>
      <c r="G15" s="11"/>
      <c r="H15" s="11"/>
      <c r="I15" s="11"/>
      <c r="J15" s="11"/>
      <c r="K15" s="11"/>
      <c r="L15" s="11"/>
      <c r="M15" s="11"/>
      <c r="N15" s="11"/>
      <c r="O15" s="6">
        <f t="shared" si="5"/>
        <v>2000</v>
      </c>
      <c r="P15" s="6">
        <f>SUM(E15:N15)-M15-J15</f>
        <v>2000</v>
      </c>
      <c r="Q15" s="6">
        <f t="shared" si="6"/>
        <v>180</v>
      </c>
      <c r="R15" s="11"/>
      <c r="S15" s="6">
        <f t="shared" si="7"/>
        <v>180</v>
      </c>
      <c r="T15" s="5">
        <f t="shared" si="8"/>
        <v>2180</v>
      </c>
      <c r="U15" s="10" t="s">
        <v>0</v>
      </c>
      <c r="V15" s="12">
        <f>200+26.6+29.8</f>
        <v>256.39999999999998</v>
      </c>
    </row>
    <row r="16" spans="1:22">
      <c r="A16" s="47">
        <v>1</v>
      </c>
      <c r="B16" s="87" t="s">
        <v>58</v>
      </c>
      <c r="C16" s="13"/>
      <c r="D16" s="14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6"/>
      <c r="P16" s="6"/>
      <c r="Q16" s="6"/>
      <c r="R16" s="11"/>
      <c r="S16" s="6"/>
      <c r="T16" s="5"/>
      <c r="U16" s="10"/>
      <c r="V16" s="12"/>
    </row>
    <row r="17" spans="1:22">
      <c r="A17" s="1">
        <v>3</v>
      </c>
      <c r="B17" s="2" t="s">
        <v>32</v>
      </c>
      <c r="C17" s="13"/>
      <c r="D17" s="14"/>
      <c r="E17" s="11">
        <v>1645.8</v>
      </c>
      <c r="F17" s="11"/>
      <c r="G17" s="11"/>
      <c r="H17" s="11"/>
      <c r="I17" s="11"/>
      <c r="J17" s="11"/>
      <c r="K17" s="11"/>
      <c r="L17" s="11"/>
      <c r="M17" s="11"/>
      <c r="N17" s="11"/>
      <c r="O17" s="6">
        <f t="shared" si="5"/>
        <v>1645.8</v>
      </c>
      <c r="P17" s="6">
        <f t="shared" ref="P17:P23" si="9">SUM(E17:N17)-M17-J17</f>
        <v>1645.8</v>
      </c>
      <c r="Q17" s="6">
        <f t="shared" si="6"/>
        <v>148.12199999999999</v>
      </c>
      <c r="R17" s="11"/>
      <c r="S17" s="6">
        <f t="shared" si="7"/>
        <v>148.12199999999999</v>
      </c>
      <c r="T17" s="5">
        <f t="shared" si="8"/>
        <v>1793.922</v>
      </c>
      <c r="U17" s="10" t="s">
        <v>19</v>
      </c>
      <c r="V17" s="12">
        <f>164.58+21.89+7.74</f>
        <v>194.21000000000004</v>
      </c>
    </row>
    <row r="18" spans="1:22" ht="15.75" thickBot="1">
      <c r="A18" s="37">
        <v>4</v>
      </c>
      <c r="B18" s="42" t="s">
        <v>20</v>
      </c>
      <c r="C18" s="38">
        <v>49</v>
      </c>
      <c r="D18" s="46">
        <v>5</v>
      </c>
      <c r="E18" s="41">
        <v>2121</v>
      </c>
      <c r="F18" s="41"/>
      <c r="G18" s="41"/>
      <c r="H18" s="41"/>
      <c r="I18" s="41"/>
      <c r="J18" s="41"/>
      <c r="K18" s="41"/>
      <c r="L18" s="41"/>
      <c r="M18" s="41"/>
      <c r="N18" s="41"/>
      <c r="O18" s="41">
        <f t="shared" si="5"/>
        <v>2121</v>
      </c>
      <c r="P18" s="41">
        <f t="shared" si="9"/>
        <v>2121</v>
      </c>
      <c r="Q18" s="6">
        <f t="shared" si="6"/>
        <v>190.89</v>
      </c>
      <c r="R18" s="6"/>
      <c r="S18" s="6">
        <f t="shared" si="7"/>
        <v>190.89</v>
      </c>
      <c r="T18" s="5">
        <f t="shared" si="8"/>
        <v>2311.89</v>
      </c>
      <c r="U18" s="7" t="s">
        <v>19</v>
      </c>
      <c r="V18" s="8">
        <f>212.1+28.21+9.97</f>
        <v>250.28</v>
      </c>
    </row>
    <row r="19" spans="1:22">
      <c r="A19" s="31">
        <v>1</v>
      </c>
      <c r="B19" s="32" t="s">
        <v>9</v>
      </c>
      <c r="C19" s="33"/>
      <c r="D19" s="34">
        <v>5</v>
      </c>
      <c r="E19" s="35">
        <v>1848</v>
      </c>
      <c r="F19" s="36">
        <v>184.8</v>
      </c>
      <c r="G19" s="36"/>
      <c r="H19" s="36"/>
      <c r="I19" s="36"/>
      <c r="J19" s="36"/>
      <c r="K19" s="36"/>
      <c r="L19" s="36"/>
      <c r="M19" s="36"/>
      <c r="N19" s="36"/>
      <c r="O19" s="36">
        <f t="shared" si="5"/>
        <v>2032.8</v>
      </c>
      <c r="P19" s="36">
        <f t="shared" si="9"/>
        <v>2032.8</v>
      </c>
      <c r="Q19" s="6">
        <f t="shared" si="6"/>
        <v>182.952</v>
      </c>
      <c r="R19" s="6"/>
      <c r="S19" s="6">
        <f t="shared" si="7"/>
        <v>182.952</v>
      </c>
      <c r="T19" s="5">
        <f t="shared" si="8"/>
        <v>2215.752</v>
      </c>
      <c r="U19" s="7" t="s">
        <v>19</v>
      </c>
      <c r="V19" s="8">
        <f>184.8+24.58+8.69</f>
        <v>218.07</v>
      </c>
    </row>
    <row r="20" spans="1:22">
      <c r="A20" s="1">
        <v>3</v>
      </c>
      <c r="B20" s="2" t="s">
        <v>27</v>
      </c>
      <c r="C20" s="3"/>
      <c r="D20" s="4"/>
      <c r="E20" s="5">
        <v>1899</v>
      </c>
      <c r="F20" s="6">
        <v>75</v>
      </c>
      <c r="G20" s="6"/>
      <c r="H20" s="6"/>
      <c r="I20" s="6"/>
      <c r="J20" s="6"/>
      <c r="K20" s="6"/>
      <c r="L20" s="6"/>
      <c r="M20" s="6"/>
      <c r="N20" s="6"/>
      <c r="O20" s="6">
        <f t="shared" si="5"/>
        <v>1974</v>
      </c>
      <c r="P20" s="6">
        <f t="shared" si="9"/>
        <v>1974</v>
      </c>
      <c r="Q20" s="6">
        <f t="shared" si="6"/>
        <v>177.66</v>
      </c>
      <c r="R20" s="6"/>
      <c r="S20" s="6">
        <f t="shared" si="7"/>
        <v>177.66</v>
      </c>
      <c r="T20" s="5">
        <f t="shared" si="8"/>
        <v>2151.66</v>
      </c>
      <c r="U20" s="7" t="s">
        <v>18</v>
      </c>
      <c r="V20" s="8">
        <f>+P20*12.78%</f>
        <v>252.27719999999999</v>
      </c>
    </row>
    <row r="21" spans="1:22">
      <c r="A21" s="1">
        <v>2</v>
      </c>
      <c r="B21" s="2" t="s">
        <v>25</v>
      </c>
      <c r="C21" s="3"/>
      <c r="D21" s="4">
        <v>5</v>
      </c>
      <c r="E21" s="5">
        <v>1666</v>
      </c>
      <c r="F21" s="6">
        <f>75+174.1</f>
        <v>249.1</v>
      </c>
      <c r="G21" s="6"/>
      <c r="H21" s="6"/>
      <c r="I21" s="6"/>
      <c r="J21" s="6"/>
      <c r="K21" s="6"/>
      <c r="L21" s="6"/>
      <c r="M21" s="6"/>
      <c r="N21" s="6"/>
      <c r="O21" s="6">
        <f t="shared" si="5"/>
        <v>1915.1</v>
      </c>
      <c r="P21" s="6">
        <f t="shared" si="9"/>
        <v>1915.1</v>
      </c>
      <c r="Q21" s="6">
        <f t="shared" si="6"/>
        <v>172.35899999999998</v>
      </c>
      <c r="R21" s="6"/>
      <c r="S21" s="6">
        <f t="shared" si="7"/>
        <v>172.35899999999998</v>
      </c>
      <c r="T21" s="5">
        <f t="shared" si="8"/>
        <v>2087.4589999999998</v>
      </c>
      <c r="U21" s="7" t="s">
        <v>2</v>
      </c>
      <c r="V21" s="8">
        <f>+P21*12.83%</f>
        <v>245.70732999999998</v>
      </c>
    </row>
    <row r="22" spans="1:22">
      <c r="A22" s="1">
        <v>4</v>
      </c>
      <c r="B22" s="2" t="s">
        <v>10</v>
      </c>
      <c r="C22" s="3"/>
      <c r="D22" s="4">
        <v>5</v>
      </c>
      <c r="E22" s="5">
        <v>1666</v>
      </c>
      <c r="F22" s="6">
        <f>75+174.1</f>
        <v>249.1</v>
      </c>
      <c r="G22" s="6"/>
      <c r="H22" s="6"/>
      <c r="I22" s="6"/>
      <c r="J22" s="6"/>
      <c r="K22" s="6"/>
      <c r="L22" s="6"/>
      <c r="M22" s="6"/>
      <c r="N22" s="6"/>
      <c r="O22" s="6">
        <f t="shared" si="5"/>
        <v>1915.1</v>
      </c>
      <c r="P22" s="6">
        <f t="shared" si="9"/>
        <v>1915.1</v>
      </c>
      <c r="Q22" s="6">
        <f t="shared" si="6"/>
        <v>172.35899999999998</v>
      </c>
      <c r="R22" s="6"/>
      <c r="S22" s="6">
        <f t="shared" si="7"/>
        <v>172.35899999999998</v>
      </c>
      <c r="T22" s="5">
        <f t="shared" si="8"/>
        <v>2087.4589999999998</v>
      </c>
      <c r="U22" s="7" t="s">
        <v>1</v>
      </c>
      <c r="V22" s="6">
        <f>+P22*13%-22.63</f>
        <v>226.333</v>
      </c>
    </row>
    <row r="23" spans="1:22">
      <c r="A23" s="1">
        <v>5</v>
      </c>
      <c r="B23" s="2" t="s">
        <v>11</v>
      </c>
      <c r="C23" s="3">
        <v>26</v>
      </c>
      <c r="D23" s="4">
        <v>5</v>
      </c>
      <c r="E23" s="5">
        <v>1899</v>
      </c>
      <c r="F23" s="6">
        <v>75</v>
      </c>
      <c r="G23" s="6"/>
      <c r="H23" s="6"/>
      <c r="I23" s="6"/>
      <c r="J23" s="6"/>
      <c r="K23" s="6"/>
      <c r="L23" s="6"/>
      <c r="M23" s="6"/>
      <c r="N23" s="6"/>
      <c r="O23" s="6">
        <f t="shared" si="5"/>
        <v>1974</v>
      </c>
      <c r="P23" s="6">
        <f t="shared" si="9"/>
        <v>1974</v>
      </c>
      <c r="Q23" s="6">
        <f t="shared" si="6"/>
        <v>177.66</v>
      </c>
      <c r="R23" s="6"/>
      <c r="S23" s="6">
        <f t="shared" si="7"/>
        <v>177.66</v>
      </c>
      <c r="T23" s="5">
        <f t="shared" si="8"/>
        <v>2151.66</v>
      </c>
      <c r="U23" s="7" t="s">
        <v>18</v>
      </c>
      <c r="V23" s="8">
        <f>197.4+26.25+28.62</f>
        <v>252.27</v>
      </c>
    </row>
    <row r="24" spans="1:22">
      <c r="A24" s="22">
        <v>3</v>
      </c>
      <c r="B24" s="23" t="s">
        <v>45</v>
      </c>
      <c r="C24" s="3"/>
      <c r="D24" s="4"/>
      <c r="E24" s="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5"/>
      <c r="U24" s="7"/>
      <c r="V24" s="8"/>
    </row>
    <row r="25" spans="1:22">
      <c r="A25" s="1">
        <v>6</v>
      </c>
      <c r="B25" s="2" t="s">
        <v>12</v>
      </c>
      <c r="C25" s="3">
        <v>31</v>
      </c>
      <c r="D25" s="4">
        <v>5</v>
      </c>
      <c r="E25" s="5">
        <v>1848</v>
      </c>
      <c r="F25" s="6">
        <f>75+150</f>
        <v>225</v>
      </c>
      <c r="G25" s="6"/>
      <c r="H25" s="6"/>
      <c r="I25" s="6"/>
      <c r="J25" s="6"/>
      <c r="K25" s="6"/>
      <c r="L25" s="6"/>
      <c r="M25" s="6"/>
      <c r="N25" s="6"/>
      <c r="O25" s="6">
        <f t="shared" ref="O25:O34" si="10">SUM(E25:N25)</f>
        <v>2073</v>
      </c>
      <c r="P25" s="6">
        <f t="shared" ref="P25:P34" si="11">SUM(E25:N25)-M25-J25</f>
        <v>2073</v>
      </c>
      <c r="Q25" s="6">
        <f t="shared" ref="Q25:Q34" si="12">P25*9%</f>
        <v>186.57</v>
      </c>
      <c r="R25" s="6"/>
      <c r="S25" s="6">
        <f t="shared" ref="S25:S34" si="13">SUM(Q25:R25)</f>
        <v>186.57</v>
      </c>
      <c r="T25" s="5">
        <f t="shared" ref="T25:T34" si="14">O25+S25</f>
        <v>2259.5700000000002</v>
      </c>
      <c r="U25" s="7" t="s">
        <v>18</v>
      </c>
      <c r="V25" s="8">
        <f>+P25*12.78%</f>
        <v>264.92939999999999</v>
      </c>
    </row>
    <row r="26" spans="1:22">
      <c r="A26" s="1">
        <v>9</v>
      </c>
      <c r="B26" s="2" t="s">
        <v>29</v>
      </c>
      <c r="C26" s="3"/>
      <c r="D26" s="4"/>
      <c r="E26" s="5">
        <v>1848</v>
      </c>
      <c r="F26" s="6"/>
      <c r="G26" s="6"/>
      <c r="H26" s="6"/>
      <c r="I26" s="6"/>
      <c r="J26" s="6"/>
      <c r="K26" s="6"/>
      <c r="L26" s="6"/>
      <c r="M26" s="6"/>
      <c r="N26" s="6"/>
      <c r="O26" s="6">
        <f t="shared" si="10"/>
        <v>1848</v>
      </c>
      <c r="P26" s="6">
        <f t="shared" si="11"/>
        <v>1848</v>
      </c>
      <c r="Q26" s="6">
        <f t="shared" si="12"/>
        <v>166.32</v>
      </c>
      <c r="R26" s="6"/>
      <c r="S26" s="6">
        <f t="shared" si="13"/>
        <v>166.32</v>
      </c>
      <c r="T26" s="5">
        <f t="shared" si="14"/>
        <v>2014.32</v>
      </c>
      <c r="U26" s="7" t="s">
        <v>0</v>
      </c>
      <c r="V26" s="8">
        <f>+P26*12.92%</f>
        <v>238.76160000000002</v>
      </c>
    </row>
    <row r="27" spans="1:22">
      <c r="A27" s="1">
        <v>7</v>
      </c>
      <c r="B27" s="2" t="s">
        <v>13</v>
      </c>
      <c r="C27" s="3">
        <v>2</v>
      </c>
      <c r="D27" s="4">
        <v>5</v>
      </c>
      <c r="E27" s="5">
        <v>1666</v>
      </c>
      <c r="F27" s="6">
        <v>75</v>
      </c>
      <c r="G27" s="6"/>
      <c r="H27" s="6"/>
      <c r="I27" s="6"/>
      <c r="J27" s="6"/>
      <c r="K27" s="6"/>
      <c r="L27" s="6"/>
      <c r="M27" s="6"/>
      <c r="N27" s="6"/>
      <c r="O27" s="6">
        <f t="shared" si="10"/>
        <v>1741</v>
      </c>
      <c r="P27" s="6">
        <f t="shared" si="11"/>
        <v>1741</v>
      </c>
      <c r="Q27" s="6">
        <f t="shared" si="12"/>
        <v>156.69</v>
      </c>
      <c r="R27" s="6"/>
      <c r="S27" s="6">
        <f t="shared" si="13"/>
        <v>156.69</v>
      </c>
      <c r="T27" s="5">
        <f t="shared" si="14"/>
        <v>1897.69</v>
      </c>
      <c r="U27" s="7" t="s">
        <v>0</v>
      </c>
      <c r="V27" s="8">
        <f>+P27*12.92%</f>
        <v>224.93720000000002</v>
      </c>
    </row>
    <row r="28" spans="1:22">
      <c r="A28" s="1">
        <v>8</v>
      </c>
      <c r="B28" s="2" t="s">
        <v>28</v>
      </c>
      <c r="C28" s="3"/>
      <c r="D28" s="4"/>
      <c r="E28" s="5">
        <v>1848</v>
      </c>
      <c r="F28" s="6">
        <v>75</v>
      </c>
      <c r="G28" s="6"/>
      <c r="H28" s="6"/>
      <c r="I28" s="6"/>
      <c r="J28" s="6"/>
      <c r="K28" s="6"/>
      <c r="L28" s="6"/>
      <c r="M28" s="6"/>
      <c r="N28" s="6"/>
      <c r="O28" s="6">
        <f t="shared" si="10"/>
        <v>1923</v>
      </c>
      <c r="P28" s="6">
        <f t="shared" si="11"/>
        <v>1923</v>
      </c>
      <c r="Q28" s="6">
        <f t="shared" si="12"/>
        <v>173.07</v>
      </c>
      <c r="R28" s="6"/>
      <c r="S28" s="6">
        <f t="shared" si="13"/>
        <v>173.07</v>
      </c>
      <c r="T28" s="5">
        <f t="shared" si="14"/>
        <v>2096.0700000000002</v>
      </c>
      <c r="U28" s="7" t="s">
        <v>0</v>
      </c>
      <c r="V28" s="8">
        <f>+P28*12.92%</f>
        <v>248.45160000000001</v>
      </c>
    </row>
    <row r="29" spans="1:22">
      <c r="A29" s="1">
        <v>12</v>
      </c>
      <c r="B29" s="2" t="s">
        <v>30</v>
      </c>
      <c r="C29" s="3"/>
      <c r="D29" s="4"/>
      <c r="E29" s="5">
        <v>1848</v>
      </c>
      <c r="F29" s="6"/>
      <c r="G29" s="6"/>
      <c r="H29" s="6"/>
      <c r="I29" s="6"/>
      <c r="J29" s="6"/>
      <c r="K29" s="6"/>
      <c r="L29" s="6"/>
      <c r="M29" s="6"/>
      <c r="N29" s="6"/>
      <c r="O29" s="6">
        <f t="shared" si="10"/>
        <v>1848</v>
      </c>
      <c r="P29" s="6">
        <f t="shared" si="11"/>
        <v>1848</v>
      </c>
      <c r="Q29" s="6">
        <f t="shared" si="12"/>
        <v>166.32</v>
      </c>
      <c r="R29" s="6"/>
      <c r="S29" s="6">
        <f t="shared" si="13"/>
        <v>166.32</v>
      </c>
      <c r="T29" s="5">
        <f t="shared" si="14"/>
        <v>2014.32</v>
      </c>
      <c r="U29" s="7" t="s">
        <v>18</v>
      </c>
      <c r="V29" s="8">
        <f>230.2+28.31+33.38</f>
        <v>291.89</v>
      </c>
    </row>
    <row r="30" spans="1:22">
      <c r="A30" s="1">
        <v>10</v>
      </c>
      <c r="B30" s="2" t="s">
        <v>14</v>
      </c>
      <c r="C30" s="3">
        <v>31</v>
      </c>
      <c r="D30" s="4">
        <v>5</v>
      </c>
      <c r="E30" s="5">
        <v>1951</v>
      </c>
      <c r="F30" s="6">
        <f>75+202.6</f>
        <v>277.60000000000002</v>
      </c>
      <c r="G30" s="6"/>
      <c r="H30" s="6"/>
      <c r="I30" s="6"/>
      <c r="J30" s="6"/>
      <c r="K30" s="6"/>
      <c r="L30" s="6"/>
      <c r="M30" s="6"/>
      <c r="N30" s="6"/>
      <c r="O30" s="6">
        <f t="shared" si="10"/>
        <v>2228.6</v>
      </c>
      <c r="P30" s="6">
        <f t="shared" si="11"/>
        <v>2228.6</v>
      </c>
      <c r="Q30" s="6">
        <f t="shared" si="12"/>
        <v>200.57399999999998</v>
      </c>
      <c r="R30" s="6"/>
      <c r="S30" s="6">
        <f t="shared" si="13"/>
        <v>200.57399999999998</v>
      </c>
      <c r="T30" s="5">
        <f t="shared" si="14"/>
        <v>2429.174</v>
      </c>
      <c r="U30" s="7" t="s">
        <v>0</v>
      </c>
      <c r="V30" s="8">
        <f>+P30*12.92%</f>
        <v>287.93511999999998</v>
      </c>
    </row>
    <row r="31" spans="1:22">
      <c r="A31" s="1">
        <v>11</v>
      </c>
      <c r="B31" s="2" t="s">
        <v>22</v>
      </c>
      <c r="C31" s="3"/>
      <c r="D31" s="4">
        <v>5</v>
      </c>
      <c r="E31" s="5">
        <v>1848</v>
      </c>
      <c r="F31" s="6">
        <v>184.8</v>
      </c>
      <c r="G31" s="6"/>
      <c r="H31" s="6"/>
      <c r="I31" s="6"/>
      <c r="J31" s="6"/>
      <c r="K31" s="6"/>
      <c r="L31" s="6"/>
      <c r="M31" s="6"/>
      <c r="N31" s="6"/>
      <c r="O31" s="6">
        <f t="shared" si="10"/>
        <v>2032.8</v>
      </c>
      <c r="P31" s="6">
        <f t="shared" si="11"/>
        <v>2032.8</v>
      </c>
      <c r="Q31" s="6">
        <f t="shared" si="12"/>
        <v>182.952</v>
      </c>
      <c r="R31" s="6"/>
      <c r="S31" s="6">
        <f t="shared" si="13"/>
        <v>182.952</v>
      </c>
      <c r="T31" s="5">
        <f t="shared" si="14"/>
        <v>2215.752</v>
      </c>
      <c r="U31" s="7" t="s">
        <v>0</v>
      </c>
      <c r="V31" s="8">
        <f>184.8+24.58+27.54</f>
        <v>236.92</v>
      </c>
    </row>
    <row r="32" spans="1:22">
      <c r="A32" s="1">
        <v>13</v>
      </c>
      <c r="B32" s="2" t="s">
        <v>15</v>
      </c>
      <c r="C32" s="3"/>
      <c r="D32" s="4">
        <v>5</v>
      </c>
      <c r="E32" s="5">
        <v>1666</v>
      </c>
      <c r="F32" s="6">
        <f>75+174.1</f>
        <v>249.1</v>
      </c>
      <c r="G32" s="6"/>
      <c r="H32" s="6"/>
      <c r="I32" s="6"/>
      <c r="J32" s="6"/>
      <c r="K32" s="6"/>
      <c r="L32" s="6"/>
      <c r="M32" s="6"/>
      <c r="N32" s="6"/>
      <c r="O32" s="6">
        <f t="shared" si="10"/>
        <v>1915.1</v>
      </c>
      <c r="P32" s="6">
        <f t="shared" si="11"/>
        <v>1915.1</v>
      </c>
      <c r="Q32" s="6">
        <f t="shared" si="12"/>
        <v>172.35899999999998</v>
      </c>
      <c r="R32" s="6"/>
      <c r="S32" s="6">
        <f t="shared" si="13"/>
        <v>172.35899999999998</v>
      </c>
      <c r="T32" s="5">
        <f t="shared" si="14"/>
        <v>2087.4589999999998</v>
      </c>
      <c r="U32" s="7" t="s">
        <v>18</v>
      </c>
      <c r="V32" s="8">
        <f>174.1+23.16+25.24</f>
        <v>222.5</v>
      </c>
    </row>
    <row r="33" spans="1:22">
      <c r="A33" s="1">
        <v>14</v>
      </c>
      <c r="B33" s="2" t="s">
        <v>16</v>
      </c>
      <c r="C33" s="3"/>
      <c r="D33" s="4">
        <v>5</v>
      </c>
      <c r="E33" s="5">
        <v>1848</v>
      </c>
      <c r="F33" s="6">
        <f>75+192.3</f>
        <v>267.3</v>
      </c>
      <c r="G33" s="6"/>
      <c r="H33" s="6"/>
      <c r="I33" s="6"/>
      <c r="J33" s="6"/>
      <c r="K33" s="6"/>
      <c r="L33" s="6"/>
      <c r="M33" s="6"/>
      <c r="N33" s="6"/>
      <c r="O33" s="6">
        <f t="shared" si="10"/>
        <v>2115.3000000000002</v>
      </c>
      <c r="P33" s="6">
        <f t="shared" si="11"/>
        <v>2115.3000000000002</v>
      </c>
      <c r="Q33" s="6">
        <f t="shared" si="12"/>
        <v>190.37700000000001</v>
      </c>
      <c r="R33" s="6"/>
      <c r="S33" s="6">
        <f t="shared" si="13"/>
        <v>190.37700000000001</v>
      </c>
      <c r="T33" s="5">
        <f t="shared" si="14"/>
        <v>2305.6770000000001</v>
      </c>
      <c r="U33" s="7" t="s">
        <v>1</v>
      </c>
      <c r="V33" s="6">
        <f>+P33*13%-25</f>
        <v>249.98900000000003</v>
      </c>
    </row>
    <row r="34" spans="1:22">
      <c r="A34" s="1">
        <v>15</v>
      </c>
      <c r="B34" s="2" t="s">
        <v>23</v>
      </c>
      <c r="C34" s="3">
        <v>20</v>
      </c>
      <c r="D34" s="4">
        <v>5</v>
      </c>
      <c r="E34" s="5">
        <v>1899</v>
      </c>
      <c r="F34" s="6">
        <v>75</v>
      </c>
      <c r="G34" s="6"/>
      <c r="H34" s="6"/>
      <c r="I34" s="6"/>
      <c r="J34" s="6"/>
      <c r="K34" s="6"/>
      <c r="L34" s="6"/>
      <c r="M34" s="6"/>
      <c r="N34" s="6"/>
      <c r="O34" s="6">
        <f t="shared" si="10"/>
        <v>1974</v>
      </c>
      <c r="P34" s="6">
        <f t="shared" si="11"/>
        <v>1974</v>
      </c>
      <c r="Q34" s="6">
        <f t="shared" si="12"/>
        <v>177.66</v>
      </c>
      <c r="R34" s="6"/>
      <c r="S34" s="6">
        <f t="shared" si="13"/>
        <v>177.66</v>
      </c>
      <c r="T34" s="5">
        <f t="shared" si="14"/>
        <v>2151.66</v>
      </c>
      <c r="U34" s="7" t="s">
        <v>18</v>
      </c>
      <c r="V34" s="8">
        <f>+P34*12.78%</f>
        <v>252.27719999999999</v>
      </c>
    </row>
  </sheetData>
  <sortState ref="A16:T31">
    <sortCondition ref="B16"/>
  </sortState>
  <pageMargins left="0.70866141732283472" right="0.70866141732283472" top="0.74803149606299213" bottom="0.74803149606299213" header="0.31496062992125984" footer="0.31496062992125984"/>
  <pageSetup paperSize="9" scale="95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34"/>
  <sheetViews>
    <sheetView workbookViewId="0">
      <selection activeCell="A2" sqref="A2:N2"/>
    </sheetView>
  </sheetViews>
  <sheetFormatPr baseColWidth="10" defaultRowHeight="15"/>
  <cols>
    <col min="1" max="1" width="3.140625" customWidth="1"/>
    <col min="2" max="2" width="22" customWidth="1"/>
    <col min="3" max="3" width="3.7109375" customWidth="1"/>
    <col min="4" max="4" width="3.5703125" customWidth="1"/>
    <col min="5" max="5" width="9.140625" customWidth="1"/>
    <col min="6" max="6" width="8.28515625" customWidth="1"/>
    <col min="7" max="7" width="8.140625" customWidth="1"/>
    <col min="8" max="8" width="5.140625" customWidth="1"/>
    <col min="9" max="9" width="6" customWidth="1"/>
    <col min="10" max="10" width="5.42578125" customWidth="1"/>
    <col min="11" max="11" width="8.28515625" customWidth="1"/>
    <col min="12" max="12" width="5.42578125" customWidth="1"/>
    <col min="13" max="13" width="6.5703125" customWidth="1"/>
    <col min="14" max="14" width="8.140625" customWidth="1"/>
    <col min="15" max="16" width="9.140625" customWidth="1"/>
    <col min="17" max="17" width="8.28515625" customWidth="1"/>
    <col min="18" max="18" width="5" customWidth="1"/>
    <col min="19" max="19" width="8.28515625" customWidth="1"/>
    <col min="20" max="20" width="9.140625" customWidth="1"/>
    <col min="21" max="21" width="6.5703125" customWidth="1"/>
    <col min="22" max="22" width="8.140625" customWidth="1"/>
  </cols>
  <sheetData>
    <row r="1" spans="1:22" ht="15.75">
      <c r="A1" s="63">
        <v>1</v>
      </c>
      <c r="B1" s="64" t="s">
        <v>33</v>
      </c>
      <c r="C1" s="24">
        <v>179</v>
      </c>
      <c r="D1" s="25">
        <v>5</v>
      </c>
      <c r="E1" s="26">
        <v>2241</v>
      </c>
      <c r="F1" s="27"/>
      <c r="G1" s="27"/>
      <c r="H1" s="27"/>
      <c r="I1" s="27"/>
      <c r="J1" s="27"/>
      <c r="K1" s="27"/>
      <c r="L1" s="27"/>
      <c r="M1" s="27"/>
      <c r="N1" s="27">
        <v>1054</v>
      </c>
      <c r="O1" s="19">
        <f>SUM(E1:N1)</f>
        <v>3295</v>
      </c>
      <c r="P1" s="19">
        <f>O1-M1-J1</f>
        <v>3295</v>
      </c>
      <c r="Q1" s="20">
        <f>P1*9%</f>
        <v>296.55</v>
      </c>
      <c r="R1" s="20"/>
      <c r="S1" s="20">
        <f>Q1+R1</f>
        <v>296.55</v>
      </c>
      <c r="T1" s="19">
        <f>P1+S1</f>
        <v>3591.55</v>
      </c>
      <c r="U1" s="21" t="s">
        <v>0</v>
      </c>
      <c r="V1" s="20">
        <f>+P1*13.02%</f>
        <v>429.00899999999996</v>
      </c>
    </row>
    <row r="2" spans="1:22" ht="16.5" thickBot="1">
      <c r="A2" s="53">
        <v>1</v>
      </c>
      <c r="B2" s="54" t="s">
        <v>56</v>
      </c>
      <c r="C2" s="55"/>
      <c r="D2" s="56"/>
      <c r="E2" s="57"/>
      <c r="F2" s="58"/>
      <c r="G2" s="58"/>
      <c r="H2" s="58"/>
      <c r="I2" s="58"/>
      <c r="J2" s="58"/>
      <c r="K2" s="58"/>
      <c r="L2" s="58"/>
      <c r="M2" s="58"/>
      <c r="N2" s="58"/>
      <c r="O2" s="19"/>
      <c r="P2" s="19"/>
      <c r="Q2" s="20"/>
      <c r="R2" s="20"/>
      <c r="S2" s="20"/>
      <c r="T2" s="19"/>
      <c r="U2" s="21"/>
      <c r="V2" s="20"/>
    </row>
    <row r="3" spans="1:22" ht="15.75">
      <c r="A3" s="47">
        <v>1</v>
      </c>
      <c r="B3" s="48" t="s">
        <v>3</v>
      </c>
      <c r="C3" s="49"/>
      <c r="D3" s="50"/>
      <c r="E3" s="51"/>
      <c r="F3" s="52"/>
      <c r="G3" s="52"/>
      <c r="H3" s="52"/>
      <c r="I3" s="52"/>
      <c r="J3" s="52"/>
      <c r="K3" s="52"/>
      <c r="L3" s="52"/>
      <c r="M3" s="52"/>
      <c r="N3" s="52"/>
      <c r="O3" s="19">
        <f>SUM(E3:N3)</f>
        <v>0</v>
      </c>
      <c r="P3" s="19">
        <f>O3-M3-J3</f>
        <v>0</v>
      </c>
      <c r="Q3" s="20">
        <f>P3*9%</f>
        <v>0</v>
      </c>
      <c r="R3" s="20"/>
      <c r="S3" s="20">
        <f>Q3+R3</f>
        <v>0</v>
      </c>
      <c r="T3" s="19">
        <f>P3+S3</f>
        <v>0</v>
      </c>
      <c r="U3" s="21" t="s">
        <v>2</v>
      </c>
      <c r="V3" s="20">
        <f>+P3*12.93%</f>
        <v>0</v>
      </c>
    </row>
    <row r="4" spans="1:22" ht="16.5" thickBot="1">
      <c r="A4" s="53">
        <v>2</v>
      </c>
      <c r="B4" s="54" t="s">
        <v>56</v>
      </c>
      <c r="C4" s="55">
        <v>180</v>
      </c>
      <c r="D4" s="56">
        <v>5</v>
      </c>
      <c r="E4" s="57">
        <v>2920</v>
      </c>
      <c r="F4" s="58">
        <v>75</v>
      </c>
      <c r="G4" s="58">
        <v>300</v>
      </c>
      <c r="H4" s="58"/>
      <c r="I4" s="58"/>
      <c r="J4" s="58"/>
      <c r="K4" s="58"/>
      <c r="L4" s="58"/>
      <c r="M4" s="58"/>
      <c r="N4" s="58"/>
      <c r="O4" s="26">
        <f t="shared" ref="O4" si="0">SUM(E4:N4)</f>
        <v>3295</v>
      </c>
      <c r="P4" s="26">
        <f t="shared" ref="P4" si="1">O4-M4-J4</f>
        <v>3295</v>
      </c>
      <c r="Q4" s="27">
        <f t="shared" ref="Q4" si="2">P4*9%</f>
        <v>296.55</v>
      </c>
      <c r="R4" s="27"/>
      <c r="S4" s="27">
        <f t="shared" ref="S4" si="3">Q4+R4</f>
        <v>296.55</v>
      </c>
      <c r="T4" s="26">
        <f t="shared" ref="T4" si="4">P4+S4</f>
        <v>3591.55</v>
      </c>
      <c r="U4" s="28" t="s">
        <v>57</v>
      </c>
      <c r="V4" s="27">
        <f>329.5+43.82+48.11</f>
        <v>421.43</v>
      </c>
    </row>
    <row r="5" spans="1:22" ht="15.75">
      <c r="A5" s="47">
        <v>1</v>
      </c>
      <c r="B5" s="48" t="s">
        <v>51</v>
      </c>
      <c r="C5" s="49"/>
      <c r="D5" s="50"/>
      <c r="E5" s="51"/>
      <c r="F5" s="52"/>
      <c r="G5" s="52"/>
      <c r="H5" s="52"/>
      <c r="I5" s="52"/>
      <c r="J5" s="52"/>
      <c r="K5" s="52"/>
      <c r="L5" s="52"/>
      <c r="M5" s="52"/>
      <c r="N5" s="52"/>
      <c r="O5" s="19"/>
      <c r="P5" s="19"/>
      <c r="Q5" s="20"/>
      <c r="R5" s="20"/>
      <c r="S5" s="20"/>
      <c r="T5" s="19"/>
      <c r="U5" s="21"/>
      <c r="V5" s="20"/>
    </row>
    <row r="6" spans="1:22" ht="16.5" thickBot="1">
      <c r="A6" s="73">
        <v>2</v>
      </c>
      <c r="B6" s="74" t="s">
        <v>24</v>
      </c>
      <c r="C6" s="59"/>
      <c r="D6" s="60"/>
      <c r="E6" s="61"/>
      <c r="F6" s="62"/>
      <c r="G6" s="62"/>
      <c r="H6" s="62"/>
      <c r="I6" s="62"/>
      <c r="J6" s="62"/>
      <c r="K6" s="62"/>
      <c r="L6" s="62"/>
      <c r="M6" s="62"/>
      <c r="N6" s="62"/>
      <c r="O6" s="19"/>
      <c r="P6" s="19"/>
      <c r="Q6" s="20"/>
      <c r="R6" s="20"/>
      <c r="S6" s="20"/>
      <c r="T6" s="19"/>
      <c r="U6" s="21"/>
      <c r="V6" s="20"/>
    </row>
    <row r="7" spans="1:22" ht="15.75">
      <c r="A7" s="47">
        <v>1</v>
      </c>
      <c r="B7" s="48" t="s">
        <v>5</v>
      </c>
      <c r="C7" s="49">
        <v>70</v>
      </c>
      <c r="D7" s="50">
        <v>5</v>
      </c>
      <c r="E7" s="51">
        <v>1899</v>
      </c>
      <c r="F7" s="52">
        <f>75+96+50</f>
        <v>221</v>
      </c>
      <c r="G7" s="52">
        <v>300</v>
      </c>
      <c r="H7" s="52"/>
      <c r="I7" s="52">
        <v>18.55</v>
      </c>
      <c r="J7" s="52"/>
      <c r="K7" s="52"/>
      <c r="L7" s="52"/>
      <c r="M7" s="52"/>
      <c r="N7" s="52"/>
      <c r="O7" s="19">
        <f>SUM(E7:N7)</f>
        <v>2438.5500000000002</v>
      </c>
      <c r="P7" s="19">
        <f>O7-M7-J7</f>
        <v>2438.5500000000002</v>
      </c>
      <c r="Q7" s="20">
        <f>P7*9%</f>
        <v>219.46950000000001</v>
      </c>
      <c r="R7" s="20"/>
      <c r="S7" s="20">
        <f>Q7+R7</f>
        <v>219.46950000000001</v>
      </c>
      <c r="T7" s="19">
        <f>P7+S7</f>
        <v>2658.0195000000003</v>
      </c>
      <c r="U7" s="21" t="s">
        <v>0</v>
      </c>
      <c r="V7" s="20">
        <f>+P7*13.02%</f>
        <v>317.49921000000001</v>
      </c>
    </row>
    <row r="8" spans="1:22" ht="15.75">
      <c r="A8" s="22">
        <v>2</v>
      </c>
      <c r="B8" s="23" t="s">
        <v>34</v>
      </c>
      <c r="C8" s="17">
        <v>102</v>
      </c>
      <c r="D8" s="18">
        <v>5</v>
      </c>
      <c r="E8" s="19">
        <v>1666</v>
      </c>
      <c r="F8" s="20">
        <f>75+174.1</f>
        <v>249.1</v>
      </c>
      <c r="G8" s="20">
        <v>250</v>
      </c>
      <c r="H8" s="20"/>
      <c r="I8" s="20"/>
      <c r="J8" s="20"/>
      <c r="K8" s="20"/>
      <c r="L8" s="20"/>
      <c r="M8" s="20">
        <v>92</v>
      </c>
      <c r="N8" s="20">
        <v>233</v>
      </c>
      <c r="O8" s="19">
        <f t="shared" ref="O8:O10" si="5">SUM(E8:N8)</f>
        <v>2490.1</v>
      </c>
      <c r="P8" s="19">
        <f t="shared" ref="P8:P10" si="6">O8-M8-J8</f>
        <v>2398.1</v>
      </c>
      <c r="Q8" s="20">
        <f t="shared" ref="Q8:Q10" si="7">P8*9%</f>
        <v>215.82899999999998</v>
      </c>
      <c r="R8" s="20"/>
      <c r="S8" s="20">
        <f t="shared" ref="S8:S10" si="8">Q8+R8</f>
        <v>215.82899999999998</v>
      </c>
      <c r="T8" s="19">
        <f t="shared" ref="T8:T10" si="9">P8+S8</f>
        <v>2613.9290000000001</v>
      </c>
      <c r="U8" s="21" t="s">
        <v>18</v>
      </c>
      <c r="V8" s="20">
        <f>+P8*12.88%</f>
        <v>308.87527999999998</v>
      </c>
    </row>
    <row r="9" spans="1:22" ht="15.75">
      <c r="A9" s="22">
        <v>3</v>
      </c>
      <c r="B9" s="23" t="s">
        <v>7</v>
      </c>
      <c r="C9" s="17">
        <v>51</v>
      </c>
      <c r="D9" s="18">
        <v>5</v>
      </c>
      <c r="E9" s="19">
        <v>1727</v>
      </c>
      <c r="F9" s="20">
        <f>75+96+50</f>
        <v>221</v>
      </c>
      <c r="G9" s="20">
        <v>200</v>
      </c>
      <c r="H9" s="20"/>
      <c r="I9" s="20"/>
      <c r="J9" s="20"/>
      <c r="K9" s="20"/>
      <c r="L9" s="20"/>
      <c r="M9" s="20"/>
      <c r="N9" s="20">
        <v>121</v>
      </c>
      <c r="O9" s="19">
        <f t="shared" si="5"/>
        <v>2269</v>
      </c>
      <c r="P9" s="19">
        <f t="shared" si="6"/>
        <v>2269</v>
      </c>
      <c r="Q9" s="20">
        <f t="shared" si="7"/>
        <v>204.20999999999998</v>
      </c>
      <c r="R9" s="20"/>
      <c r="S9" s="20">
        <f t="shared" si="8"/>
        <v>204.20999999999998</v>
      </c>
      <c r="T9" s="19">
        <f t="shared" si="9"/>
        <v>2473.21</v>
      </c>
      <c r="U9" s="21" t="s">
        <v>2</v>
      </c>
      <c r="V9" s="20">
        <f>+P9*12.93%</f>
        <v>293.38170000000002</v>
      </c>
    </row>
    <row r="10" spans="1:22" ht="16.5" thickBot="1">
      <c r="A10" s="53">
        <v>4</v>
      </c>
      <c r="B10" s="54" t="s">
        <v>8</v>
      </c>
      <c r="C10" s="55">
        <v>72</v>
      </c>
      <c r="D10" s="56">
        <v>5</v>
      </c>
      <c r="E10" s="57">
        <v>1951</v>
      </c>
      <c r="F10" s="58">
        <f>75+135.07+96</f>
        <v>306.07</v>
      </c>
      <c r="G10" s="58">
        <v>150</v>
      </c>
      <c r="H10" s="58"/>
      <c r="I10" s="58"/>
      <c r="J10" s="58"/>
      <c r="K10" s="58"/>
      <c r="L10" s="58"/>
      <c r="M10" s="58"/>
      <c r="N10" s="58"/>
      <c r="O10" s="19">
        <f t="shared" si="5"/>
        <v>2407.0700000000002</v>
      </c>
      <c r="P10" s="19">
        <f t="shared" si="6"/>
        <v>2407.0700000000002</v>
      </c>
      <c r="Q10" s="20">
        <f t="shared" si="7"/>
        <v>216.63630000000001</v>
      </c>
      <c r="R10" s="20"/>
      <c r="S10" s="20">
        <f t="shared" si="8"/>
        <v>216.63630000000001</v>
      </c>
      <c r="T10" s="19">
        <f t="shared" si="9"/>
        <v>2623.7063000000003</v>
      </c>
      <c r="U10" s="21" t="s">
        <v>18</v>
      </c>
      <c r="V10" s="20">
        <f>+P10*12.88%</f>
        <v>310.03061600000001</v>
      </c>
    </row>
    <row r="11" spans="1:22" ht="15.75">
      <c r="A11" s="47">
        <v>1</v>
      </c>
      <c r="B11" s="48" t="s">
        <v>35</v>
      </c>
      <c r="C11" s="49">
        <v>20</v>
      </c>
      <c r="D11" s="50">
        <v>5</v>
      </c>
      <c r="E11" s="51">
        <v>905</v>
      </c>
      <c r="F11" s="52">
        <f>75+96</f>
        <v>171</v>
      </c>
      <c r="G11" s="52"/>
      <c r="H11" s="52"/>
      <c r="I11" s="52"/>
      <c r="J11" s="52"/>
      <c r="K11" s="52"/>
      <c r="L11" s="52"/>
      <c r="M11" s="52"/>
      <c r="N11" s="52">
        <v>761</v>
      </c>
      <c r="O11" s="19">
        <f>SUM(E11:N11)</f>
        <v>1837</v>
      </c>
      <c r="P11" s="19">
        <f>O11-M11-J11</f>
        <v>1837</v>
      </c>
      <c r="Q11" s="20">
        <f>P11*9%</f>
        <v>165.32999999999998</v>
      </c>
      <c r="R11" s="20"/>
      <c r="S11" s="20">
        <f>Q11+R11</f>
        <v>165.32999999999998</v>
      </c>
      <c r="T11" s="19">
        <f>P11+S11</f>
        <v>2002.33</v>
      </c>
      <c r="U11" s="21" t="s">
        <v>0</v>
      </c>
      <c r="V11" s="20">
        <f>+P11*13.02%</f>
        <v>239.17739999999998</v>
      </c>
    </row>
    <row r="12" spans="1:22" ht="15.75">
      <c r="A12" s="22">
        <v>2</v>
      </c>
      <c r="B12" s="23" t="s">
        <v>48</v>
      </c>
      <c r="C12" s="17"/>
      <c r="D12" s="18"/>
      <c r="E12" s="19">
        <v>880</v>
      </c>
      <c r="F12" s="20">
        <v>96</v>
      </c>
      <c r="G12" s="20"/>
      <c r="H12" s="20"/>
      <c r="I12" s="20"/>
      <c r="J12" s="20"/>
      <c r="K12" s="20"/>
      <c r="L12" s="20"/>
      <c r="M12" s="20"/>
      <c r="N12" s="20">
        <v>786</v>
      </c>
      <c r="O12" s="19">
        <f t="shared" ref="O12:O13" si="10">SUM(E12:N12)</f>
        <v>1762</v>
      </c>
      <c r="P12" s="19">
        <f t="shared" ref="P12:P13" si="11">O12-M12-J12</f>
        <v>1762</v>
      </c>
      <c r="Q12" s="20">
        <f t="shared" ref="Q12:Q13" si="12">P12*9%</f>
        <v>158.57999999999998</v>
      </c>
      <c r="R12" s="20"/>
      <c r="S12" s="20">
        <f t="shared" ref="S12:S13" si="13">Q12+R12</f>
        <v>158.57999999999998</v>
      </c>
      <c r="T12" s="19">
        <f t="shared" ref="T12:T13" si="14">P12+S12</f>
        <v>1920.58</v>
      </c>
      <c r="U12" s="21" t="s">
        <v>2</v>
      </c>
      <c r="V12" s="20">
        <f>+P12*12.93%</f>
        <v>227.82659999999998</v>
      </c>
    </row>
    <row r="13" spans="1:22" ht="16.5" thickBot="1">
      <c r="A13" s="53">
        <v>3</v>
      </c>
      <c r="B13" s="54" t="s">
        <v>49</v>
      </c>
      <c r="C13" s="55"/>
      <c r="D13" s="56">
        <v>5</v>
      </c>
      <c r="E13" s="57">
        <v>905</v>
      </c>
      <c r="F13" s="58">
        <v>96</v>
      </c>
      <c r="G13" s="58"/>
      <c r="H13" s="58"/>
      <c r="I13" s="58"/>
      <c r="J13" s="58"/>
      <c r="K13" s="58"/>
      <c r="L13" s="58"/>
      <c r="M13" s="58"/>
      <c r="N13" s="58">
        <v>761</v>
      </c>
      <c r="O13" s="19">
        <f t="shared" si="10"/>
        <v>1762</v>
      </c>
      <c r="P13" s="19">
        <f t="shared" si="11"/>
        <v>1762</v>
      </c>
      <c r="Q13" s="20">
        <f t="shared" si="12"/>
        <v>158.57999999999998</v>
      </c>
      <c r="R13" s="20"/>
      <c r="S13" s="20">
        <f t="shared" si="13"/>
        <v>158.57999999999998</v>
      </c>
      <c r="T13" s="19">
        <f t="shared" si="14"/>
        <v>1920.58</v>
      </c>
      <c r="U13" s="21" t="s">
        <v>2</v>
      </c>
      <c r="V13" s="20">
        <f>+P13*12.93%</f>
        <v>227.82659999999998</v>
      </c>
    </row>
    <row r="14" spans="1:22" ht="15.75">
      <c r="A14" s="89">
        <v>1</v>
      </c>
      <c r="B14" s="90" t="s">
        <v>38</v>
      </c>
      <c r="C14" s="49"/>
      <c r="D14" s="50"/>
      <c r="E14" s="51"/>
      <c r="F14" s="52"/>
      <c r="G14" s="52"/>
      <c r="H14" s="52"/>
      <c r="I14" s="52"/>
      <c r="J14" s="52"/>
      <c r="K14" s="52"/>
      <c r="L14" s="52"/>
      <c r="M14" s="52"/>
      <c r="N14" s="52"/>
      <c r="O14" s="19"/>
      <c r="P14" s="19"/>
      <c r="Q14" s="20"/>
      <c r="R14" s="20"/>
      <c r="S14" s="20"/>
      <c r="T14" s="19"/>
      <c r="U14" s="21"/>
      <c r="V14" s="20"/>
    </row>
    <row r="15" spans="1:22" ht="15.75">
      <c r="A15" s="63">
        <v>2</v>
      </c>
      <c r="B15" s="64" t="s">
        <v>26</v>
      </c>
      <c r="C15" s="49"/>
      <c r="D15" s="50"/>
      <c r="E15" s="51"/>
      <c r="F15" s="52"/>
      <c r="G15" s="52"/>
      <c r="H15" s="52"/>
      <c r="I15" s="52"/>
      <c r="J15" s="52"/>
      <c r="K15" s="52"/>
      <c r="L15" s="52"/>
      <c r="M15" s="52"/>
      <c r="N15" s="52"/>
      <c r="O15" s="19"/>
      <c r="P15" s="19"/>
      <c r="Q15" s="20"/>
      <c r="R15" s="20"/>
      <c r="S15" s="20"/>
      <c r="T15" s="19"/>
      <c r="U15" s="21"/>
      <c r="V15" s="20"/>
    </row>
    <row r="16" spans="1:22" ht="15.75">
      <c r="A16" s="63">
        <v>1</v>
      </c>
      <c r="B16" s="29" t="s">
        <v>58</v>
      </c>
      <c r="C16" s="49"/>
      <c r="D16" s="50"/>
      <c r="E16" s="51"/>
      <c r="F16" s="52"/>
      <c r="G16" s="52"/>
      <c r="H16" s="52"/>
      <c r="I16" s="52"/>
      <c r="J16" s="52"/>
      <c r="K16" s="52"/>
      <c r="L16" s="52"/>
      <c r="M16" s="52"/>
      <c r="N16" s="52"/>
      <c r="O16" s="19"/>
      <c r="P16" s="19"/>
      <c r="Q16" s="20"/>
      <c r="R16" s="20"/>
      <c r="S16" s="20"/>
      <c r="T16" s="19"/>
      <c r="U16" s="21"/>
      <c r="V16" s="20"/>
    </row>
    <row r="17" spans="1:22" ht="15.75">
      <c r="A17" s="47">
        <v>1</v>
      </c>
      <c r="B17" s="48" t="s">
        <v>32</v>
      </c>
      <c r="C17" s="49">
        <v>15</v>
      </c>
      <c r="D17" s="50">
        <v>5</v>
      </c>
      <c r="E17" s="51">
        <v>1899</v>
      </c>
      <c r="F17" s="52">
        <v>96</v>
      </c>
      <c r="G17" s="52"/>
      <c r="H17" s="52"/>
      <c r="I17" s="52"/>
      <c r="J17" s="52"/>
      <c r="K17" s="52"/>
      <c r="L17" s="52"/>
      <c r="M17" s="52"/>
      <c r="N17" s="52"/>
      <c r="O17" s="19">
        <f t="shared" ref="O17:O34" si="15">SUM(E17:N17)</f>
        <v>1995</v>
      </c>
      <c r="P17" s="19">
        <f t="shared" ref="P17:P34" si="16">O17-M17-J17</f>
        <v>1995</v>
      </c>
      <c r="Q17" s="20">
        <f t="shared" ref="Q17:Q34" si="17">P17*9%</f>
        <v>179.54999999999998</v>
      </c>
      <c r="R17" s="20"/>
      <c r="S17" s="20">
        <f t="shared" ref="S17:S34" si="18">Q17+R17</f>
        <v>179.54999999999998</v>
      </c>
      <c r="T17" s="19">
        <f t="shared" ref="T17:T34" si="19">P17+S17</f>
        <v>2174.5500000000002</v>
      </c>
      <c r="U17" s="21" t="s">
        <v>19</v>
      </c>
      <c r="V17" s="20">
        <f>199.5+26.53+7.58</f>
        <v>233.61</v>
      </c>
    </row>
    <row r="18" spans="1:22" ht="16.5" thickBot="1">
      <c r="A18" s="53">
        <v>1</v>
      </c>
      <c r="B18" s="54" t="s">
        <v>52</v>
      </c>
      <c r="C18" s="55">
        <v>67</v>
      </c>
      <c r="D18" s="56">
        <v>5</v>
      </c>
      <c r="E18" s="57">
        <v>2121</v>
      </c>
      <c r="F18" s="58">
        <v>96</v>
      </c>
      <c r="G18" s="58"/>
      <c r="H18" s="58"/>
      <c r="I18" s="58"/>
      <c r="J18" s="58"/>
      <c r="K18" s="58"/>
      <c r="L18" s="58"/>
      <c r="M18" s="58"/>
      <c r="N18" s="58"/>
      <c r="O18" s="19">
        <f t="shared" si="15"/>
        <v>2217</v>
      </c>
      <c r="P18" s="19">
        <f t="shared" si="16"/>
        <v>2217</v>
      </c>
      <c r="Q18" s="20">
        <f t="shared" si="17"/>
        <v>199.53</v>
      </c>
      <c r="R18" s="20"/>
      <c r="S18" s="20">
        <f t="shared" si="18"/>
        <v>199.53</v>
      </c>
      <c r="T18" s="19">
        <f t="shared" si="19"/>
        <v>2416.5300000000002</v>
      </c>
      <c r="U18" s="21" t="s">
        <v>19</v>
      </c>
      <c r="V18" s="20">
        <f>221.7+29.49+8.42</f>
        <v>259.61</v>
      </c>
    </row>
    <row r="19" spans="1:22" ht="15.75">
      <c r="A19" s="47">
        <v>1</v>
      </c>
      <c r="B19" s="48" t="s">
        <v>47</v>
      </c>
      <c r="C19" s="49">
        <v>60</v>
      </c>
      <c r="D19" s="50">
        <v>5</v>
      </c>
      <c r="E19" s="51">
        <v>1848</v>
      </c>
      <c r="F19" s="52">
        <f>92+184.8+61.6+123.2</f>
        <v>461.6</v>
      </c>
      <c r="G19" s="52"/>
      <c r="H19" s="52"/>
      <c r="I19" s="52"/>
      <c r="J19" s="52"/>
      <c r="K19" s="52"/>
      <c r="L19" s="52"/>
      <c r="M19" s="52">
        <v>80.5</v>
      </c>
      <c r="N19" s="52"/>
      <c r="O19" s="19">
        <f t="shared" si="15"/>
        <v>2390.1</v>
      </c>
      <c r="P19" s="19">
        <f t="shared" si="16"/>
        <v>2309.6</v>
      </c>
      <c r="Q19" s="20">
        <f t="shared" si="17"/>
        <v>207.86399999999998</v>
      </c>
      <c r="R19" s="20"/>
      <c r="S19" s="20">
        <f t="shared" si="18"/>
        <v>207.86399999999998</v>
      </c>
      <c r="T19" s="19">
        <f t="shared" si="19"/>
        <v>2517.4639999999999</v>
      </c>
      <c r="U19" s="21" t="s">
        <v>19</v>
      </c>
      <c r="V19" s="20">
        <f>230.96+30.72+8.78</f>
        <v>270.45999999999998</v>
      </c>
    </row>
    <row r="20" spans="1:22" ht="15.75">
      <c r="A20" s="22">
        <v>2</v>
      </c>
      <c r="B20" s="23" t="s">
        <v>27</v>
      </c>
      <c r="C20" s="17">
        <v>54</v>
      </c>
      <c r="D20" s="18">
        <v>5</v>
      </c>
      <c r="E20" s="19">
        <v>1899</v>
      </c>
      <c r="F20" s="20">
        <f>75+263.2+50</f>
        <v>388.2</v>
      </c>
      <c r="G20" s="20"/>
      <c r="H20" s="20"/>
      <c r="I20" s="20"/>
      <c r="J20" s="20"/>
      <c r="K20" s="20"/>
      <c r="L20" s="20"/>
      <c r="M20" s="20"/>
      <c r="N20" s="20"/>
      <c r="O20" s="19">
        <f t="shared" si="15"/>
        <v>2287.1999999999998</v>
      </c>
      <c r="P20" s="19">
        <f t="shared" si="16"/>
        <v>2287.1999999999998</v>
      </c>
      <c r="Q20" s="20">
        <f t="shared" si="17"/>
        <v>205.84799999999998</v>
      </c>
      <c r="R20" s="20"/>
      <c r="S20" s="20">
        <f t="shared" si="18"/>
        <v>205.84799999999998</v>
      </c>
      <c r="T20" s="19">
        <f t="shared" si="19"/>
        <v>2493.0479999999998</v>
      </c>
      <c r="U20" s="21" t="s">
        <v>18</v>
      </c>
      <c r="V20" s="20">
        <f>+P20*12.88%</f>
        <v>294.59135999999995</v>
      </c>
    </row>
    <row r="21" spans="1:22" ht="15.75">
      <c r="A21" s="22">
        <v>1</v>
      </c>
      <c r="B21" s="23" t="s">
        <v>25</v>
      </c>
      <c r="C21" s="17">
        <v>59</v>
      </c>
      <c r="D21" s="18">
        <v>5</v>
      </c>
      <c r="E21" s="19">
        <v>1666</v>
      </c>
      <c r="F21" s="20">
        <v>75</v>
      </c>
      <c r="G21" s="20"/>
      <c r="H21" s="20"/>
      <c r="I21" s="20"/>
      <c r="J21" s="20"/>
      <c r="K21" s="20">
        <v>1741</v>
      </c>
      <c r="L21" s="20"/>
      <c r="M21" s="20"/>
      <c r="N21" s="20"/>
      <c r="O21" s="19">
        <f t="shared" si="15"/>
        <v>3482</v>
      </c>
      <c r="P21" s="19">
        <f t="shared" si="16"/>
        <v>3482</v>
      </c>
      <c r="Q21" s="20">
        <f t="shared" si="17"/>
        <v>313.38</v>
      </c>
      <c r="R21" s="20"/>
      <c r="S21" s="20">
        <f t="shared" si="18"/>
        <v>313.38</v>
      </c>
      <c r="T21" s="19">
        <f t="shared" si="19"/>
        <v>3795.38</v>
      </c>
      <c r="U21" s="21" t="s">
        <v>2</v>
      </c>
      <c r="V21" s="20">
        <f>+P21*12.93%</f>
        <v>450.2226</v>
      </c>
    </row>
    <row r="22" spans="1:22" ht="15.75">
      <c r="A22" s="22">
        <v>2</v>
      </c>
      <c r="B22" s="23" t="s">
        <v>44</v>
      </c>
      <c r="C22" s="17">
        <v>47</v>
      </c>
      <c r="D22" s="18">
        <v>5</v>
      </c>
      <c r="E22" s="19">
        <v>1666</v>
      </c>
      <c r="F22" s="20">
        <v>75</v>
      </c>
      <c r="G22" s="20"/>
      <c r="H22" s="20"/>
      <c r="I22" s="20"/>
      <c r="J22" s="20"/>
      <c r="K22" s="20">
        <v>1741</v>
      </c>
      <c r="L22" s="20"/>
      <c r="M22" s="20"/>
      <c r="N22" s="20"/>
      <c r="O22" s="19">
        <f t="shared" si="15"/>
        <v>3482</v>
      </c>
      <c r="P22" s="19">
        <f t="shared" si="16"/>
        <v>3482</v>
      </c>
      <c r="Q22" s="20">
        <f t="shared" si="17"/>
        <v>313.38</v>
      </c>
      <c r="R22" s="20"/>
      <c r="S22" s="20">
        <f t="shared" si="18"/>
        <v>313.38</v>
      </c>
      <c r="T22" s="19">
        <f t="shared" si="19"/>
        <v>3795.38</v>
      </c>
      <c r="U22" s="21" t="s">
        <v>1</v>
      </c>
      <c r="V22" s="20">
        <f>+P22*13%</f>
        <v>452.66</v>
      </c>
    </row>
    <row r="23" spans="1:22" ht="15.75">
      <c r="A23" s="22">
        <v>3</v>
      </c>
      <c r="B23" s="23" t="s">
        <v>11</v>
      </c>
      <c r="C23" s="17">
        <v>41</v>
      </c>
      <c r="D23" s="18">
        <v>5</v>
      </c>
      <c r="E23" s="19">
        <v>1899</v>
      </c>
      <c r="F23" s="20">
        <f>75+96+50</f>
        <v>221</v>
      </c>
      <c r="G23" s="20"/>
      <c r="H23" s="20"/>
      <c r="I23" s="20"/>
      <c r="J23" s="20"/>
      <c r="K23" s="20"/>
      <c r="L23" s="20"/>
      <c r="M23" s="20"/>
      <c r="N23" s="20"/>
      <c r="O23" s="19">
        <f t="shared" si="15"/>
        <v>2120</v>
      </c>
      <c r="P23" s="19">
        <f t="shared" si="16"/>
        <v>2120</v>
      </c>
      <c r="Q23" s="20">
        <f t="shared" si="17"/>
        <v>190.79999999999998</v>
      </c>
      <c r="R23" s="20"/>
      <c r="S23" s="20">
        <f t="shared" si="18"/>
        <v>190.79999999999998</v>
      </c>
      <c r="T23" s="19">
        <f t="shared" si="19"/>
        <v>2310.8000000000002</v>
      </c>
      <c r="U23" s="21" t="s">
        <v>18</v>
      </c>
      <c r="V23" s="20">
        <f>212+28.2+26.08</f>
        <v>266.27999999999997</v>
      </c>
    </row>
    <row r="24" spans="1:22" ht="15.75">
      <c r="A24" s="22">
        <v>3</v>
      </c>
      <c r="B24" s="23" t="s">
        <v>45</v>
      </c>
      <c r="C24" s="17">
        <v>14</v>
      </c>
      <c r="D24" s="18">
        <v>5</v>
      </c>
      <c r="E24" s="19">
        <v>1666</v>
      </c>
      <c r="F24" s="20">
        <f>75+96</f>
        <v>171</v>
      </c>
      <c r="G24" s="20"/>
      <c r="H24" s="20"/>
      <c r="I24" s="20"/>
      <c r="J24" s="20"/>
      <c r="K24" s="20"/>
      <c r="L24" s="20"/>
      <c r="M24" s="20"/>
      <c r="N24" s="20"/>
      <c r="O24" s="19">
        <f t="shared" si="15"/>
        <v>1837</v>
      </c>
      <c r="P24" s="19">
        <f t="shared" si="16"/>
        <v>1837</v>
      </c>
      <c r="Q24" s="20">
        <f t="shared" si="17"/>
        <v>165.32999999999998</v>
      </c>
      <c r="R24" s="20"/>
      <c r="S24" s="20">
        <f t="shared" si="18"/>
        <v>165.32999999999998</v>
      </c>
      <c r="T24" s="19">
        <f t="shared" si="19"/>
        <v>2002.33</v>
      </c>
      <c r="U24" s="21" t="s">
        <v>18</v>
      </c>
      <c r="V24" s="20">
        <f>+P24*12.88%</f>
        <v>236.60560000000001</v>
      </c>
    </row>
    <row r="25" spans="1:22" ht="15.75">
      <c r="A25" s="22">
        <v>4</v>
      </c>
      <c r="B25" s="23" t="s">
        <v>46</v>
      </c>
      <c r="C25" s="17">
        <v>90</v>
      </c>
      <c r="D25" s="18">
        <v>5</v>
      </c>
      <c r="E25" s="19">
        <v>1848</v>
      </c>
      <c r="F25" s="20">
        <f>75+92+192.3</f>
        <v>359.3</v>
      </c>
      <c r="G25" s="20"/>
      <c r="H25" s="20"/>
      <c r="I25" s="20"/>
      <c r="J25" s="20"/>
      <c r="K25" s="20"/>
      <c r="L25" s="20"/>
      <c r="M25" s="20">
        <v>80.5</v>
      </c>
      <c r="N25" s="20"/>
      <c r="O25" s="19">
        <f t="shared" si="15"/>
        <v>2287.8000000000002</v>
      </c>
      <c r="P25" s="19">
        <f t="shared" si="16"/>
        <v>2207.3000000000002</v>
      </c>
      <c r="Q25" s="20">
        <f t="shared" si="17"/>
        <v>198.65700000000001</v>
      </c>
      <c r="R25" s="20"/>
      <c r="S25" s="20">
        <f t="shared" si="18"/>
        <v>198.65700000000001</v>
      </c>
      <c r="T25" s="19">
        <f t="shared" si="19"/>
        <v>2405.9570000000003</v>
      </c>
      <c r="U25" s="21" t="s">
        <v>18</v>
      </c>
      <c r="V25" s="20">
        <f>+P25*12.88%</f>
        <v>284.30024000000003</v>
      </c>
    </row>
    <row r="26" spans="1:22" ht="15.75">
      <c r="A26" s="22">
        <v>5</v>
      </c>
      <c r="B26" s="23" t="s">
        <v>41</v>
      </c>
      <c r="C26" s="17">
        <v>81</v>
      </c>
      <c r="D26" s="18">
        <v>5</v>
      </c>
      <c r="E26" s="19">
        <v>1848</v>
      </c>
      <c r="F26" s="20">
        <f>88+184.8</f>
        <v>272.8</v>
      </c>
      <c r="G26" s="20"/>
      <c r="H26" s="20"/>
      <c r="I26" s="20"/>
      <c r="J26" s="20"/>
      <c r="K26" s="20"/>
      <c r="L26" s="20"/>
      <c r="M26" s="20">
        <v>92</v>
      </c>
      <c r="N26" s="20"/>
      <c r="O26" s="19">
        <f t="shared" si="15"/>
        <v>2212.8000000000002</v>
      </c>
      <c r="P26" s="19">
        <f t="shared" si="16"/>
        <v>2120.8000000000002</v>
      </c>
      <c r="Q26" s="20">
        <f t="shared" si="17"/>
        <v>190.87200000000001</v>
      </c>
      <c r="R26" s="20"/>
      <c r="S26" s="20">
        <f t="shared" si="18"/>
        <v>190.87200000000001</v>
      </c>
      <c r="T26" s="19">
        <f t="shared" si="19"/>
        <v>2311.672</v>
      </c>
      <c r="U26" s="21" t="s">
        <v>0</v>
      </c>
      <c r="V26" s="20">
        <f>+P26*13.02%</f>
        <v>276.12815999999998</v>
      </c>
    </row>
    <row r="27" spans="1:22" ht="15.75">
      <c r="A27" s="22">
        <v>5</v>
      </c>
      <c r="B27" s="23" t="s">
        <v>13</v>
      </c>
      <c r="C27" s="17">
        <v>19</v>
      </c>
      <c r="D27" s="18">
        <v>5</v>
      </c>
      <c r="E27" s="19">
        <v>1666</v>
      </c>
      <c r="F27" s="20">
        <f>75+96+50</f>
        <v>221</v>
      </c>
      <c r="G27" s="20"/>
      <c r="H27" s="20"/>
      <c r="I27" s="20"/>
      <c r="J27" s="20"/>
      <c r="K27" s="20"/>
      <c r="L27" s="20"/>
      <c r="M27" s="20"/>
      <c r="N27" s="20"/>
      <c r="O27" s="19">
        <f t="shared" si="15"/>
        <v>1887</v>
      </c>
      <c r="P27" s="19">
        <f t="shared" si="16"/>
        <v>1887</v>
      </c>
      <c r="Q27" s="20">
        <f t="shared" si="17"/>
        <v>169.82999999999998</v>
      </c>
      <c r="R27" s="20"/>
      <c r="S27" s="20">
        <f t="shared" si="18"/>
        <v>169.82999999999998</v>
      </c>
      <c r="T27" s="19">
        <f t="shared" si="19"/>
        <v>2056.83</v>
      </c>
      <c r="U27" s="21" t="s">
        <v>0</v>
      </c>
      <c r="V27" s="20">
        <f>+P27*13.02%</f>
        <v>245.68739999999997</v>
      </c>
    </row>
    <row r="28" spans="1:22" ht="15.75">
      <c r="A28" s="22">
        <v>4</v>
      </c>
      <c r="B28" s="23" t="s">
        <v>40</v>
      </c>
      <c r="C28" s="17">
        <v>33</v>
      </c>
      <c r="D28" s="18">
        <v>5</v>
      </c>
      <c r="E28" s="19">
        <v>1848</v>
      </c>
      <c r="F28" s="20">
        <f>75+88</f>
        <v>163</v>
      </c>
      <c r="G28" s="20"/>
      <c r="H28" s="20"/>
      <c r="I28" s="20"/>
      <c r="J28" s="20"/>
      <c r="K28" s="20"/>
      <c r="L28" s="20"/>
      <c r="M28" s="20"/>
      <c r="N28" s="20"/>
      <c r="O28" s="19">
        <f t="shared" si="15"/>
        <v>2011</v>
      </c>
      <c r="P28" s="19">
        <f t="shared" si="16"/>
        <v>2011</v>
      </c>
      <c r="Q28" s="20">
        <f t="shared" si="17"/>
        <v>180.98999999999998</v>
      </c>
      <c r="R28" s="20"/>
      <c r="S28" s="20">
        <f t="shared" si="18"/>
        <v>180.98999999999998</v>
      </c>
      <c r="T28" s="19">
        <f t="shared" si="19"/>
        <v>2191.9899999999998</v>
      </c>
      <c r="U28" s="21" t="s">
        <v>0</v>
      </c>
      <c r="V28" s="20">
        <f>+P28*13.02%</f>
        <v>261.83219999999994</v>
      </c>
    </row>
    <row r="29" spans="1:22" ht="15.75">
      <c r="A29" s="22">
        <v>7</v>
      </c>
      <c r="B29" s="23" t="s">
        <v>30</v>
      </c>
      <c r="C29" s="17">
        <v>48</v>
      </c>
      <c r="D29" s="18">
        <v>5</v>
      </c>
      <c r="E29" s="19">
        <v>1848</v>
      </c>
      <c r="F29" s="20">
        <f>88+184.8</f>
        <v>272.8</v>
      </c>
      <c r="G29" s="20"/>
      <c r="H29" s="20"/>
      <c r="I29" s="20"/>
      <c r="J29" s="20"/>
      <c r="K29" s="20"/>
      <c r="L29" s="20"/>
      <c r="M29" s="20">
        <v>80.5</v>
      </c>
      <c r="N29" s="20"/>
      <c r="O29" s="19">
        <f t="shared" si="15"/>
        <v>2201.3000000000002</v>
      </c>
      <c r="P29" s="19">
        <f t="shared" si="16"/>
        <v>2120.8000000000002</v>
      </c>
      <c r="Q29" s="20">
        <f t="shared" si="17"/>
        <v>190.87200000000001</v>
      </c>
      <c r="R29" s="20"/>
      <c r="S29" s="20">
        <f t="shared" si="18"/>
        <v>190.87200000000001</v>
      </c>
      <c r="T29" s="19">
        <f t="shared" si="19"/>
        <v>2311.672</v>
      </c>
      <c r="U29" s="21" t="s">
        <v>18</v>
      </c>
      <c r="V29" s="20">
        <f>+P29*12.88%</f>
        <v>273.15904</v>
      </c>
    </row>
    <row r="30" spans="1:22" ht="15.75">
      <c r="A30" s="22">
        <v>6</v>
      </c>
      <c r="B30" s="23" t="s">
        <v>14</v>
      </c>
      <c r="C30" s="17">
        <v>64</v>
      </c>
      <c r="D30" s="18">
        <v>5</v>
      </c>
      <c r="E30" s="19">
        <v>1951</v>
      </c>
      <c r="F30" s="20">
        <f>75+104</f>
        <v>179</v>
      </c>
      <c r="G30" s="20"/>
      <c r="H30" s="20"/>
      <c r="I30" s="20"/>
      <c r="J30" s="20"/>
      <c r="K30" s="20"/>
      <c r="L30" s="20"/>
      <c r="M30" s="20"/>
      <c r="N30" s="20"/>
      <c r="O30" s="19">
        <f t="shared" si="15"/>
        <v>2130</v>
      </c>
      <c r="P30" s="19">
        <f t="shared" si="16"/>
        <v>2130</v>
      </c>
      <c r="Q30" s="20">
        <f t="shared" si="17"/>
        <v>191.7</v>
      </c>
      <c r="R30" s="20"/>
      <c r="S30" s="20">
        <f t="shared" si="18"/>
        <v>191.7</v>
      </c>
      <c r="T30" s="19">
        <f t="shared" si="19"/>
        <v>2321.6999999999998</v>
      </c>
      <c r="U30" s="21" t="s">
        <v>0</v>
      </c>
      <c r="V30" s="20">
        <f>+P30*13.02%</f>
        <v>277.32599999999996</v>
      </c>
    </row>
    <row r="31" spans="1:22" ht="15.75">
      <c r="A31" s="22">
        <v>8</v>
      </c>
      <c r="B31" s="23" t="s">
        <v>53</v>
      </c>
      <c r="C31" s="17">
        <v>59</v>
      </c>
      <c r="D31" s="18">
        <v>5</v>
      </c>
      <c r="E31" s="19">
        <v>1848</v>
      </c>
      <c r="F31" s="20">
        <f>88+184.8</f>
        <v>272.8</v>
      </c>
      <c r="G31" s="20"/>
      <c r="H31" s="20"/>
      <c r="I31" s="20"/>
      <c r="J31" s="20"/>
      <c r="K31" s="20"/>
      <c r="L31" s="20"/>
      <c r="M31" s="20">
        <v>92</v>
      </c>
      <c r="N31" s="20"/>
      <c r="O31" s="19">
        <f t="shared" si="15"/>
        <v>2212.8000000000002</v>
      </c>
      <c r="P31" s="19">
        <f t="shared" si="16"/>
        <v>2120.8000000000002</v>
      </c>
      <c r="Q31" s="20">
        <f t="shared" si="17"/>
        <v>190.87200000000001</v>
      </c>
      <c r="R31" s="20"/>
      <c r="S31" s="20">
        <f t="shared" si="18"/>
        <v>190.87200000000001</v>
      </c>
      <c r="T31" s="19">
        <f t="shared" si="19"/>
        <v>2311.672</v>
      </c>
      <c r="U31" s="21" t="s">
        <v>0</v>
      </c>
      <c r="V31" s="20">
        <f>212.08+28.21+30.96</f>
        <v>271.25</v>
      </c>
    </row>
    <row r="32" spans="1:22" ht="15.75">
      <c r="A32" s="22">
        <v>6</v>
      </c>
      <c r="B32" s="23" t="s">
        <v>15</v>
      </c>
      <c r="C32" s="17">
        <v>60</v>
      </c>
      <c r="D32" s="18">
        <v>5</v>
      </c>
      <c r="E32" s="19">
        <v>1666</v>
      </c>
      <c r="F32" s="20">
        <f>75+88+174.1</f>
        <v>337.1</v>
      </c>
      <c r="G32" s="20"/>
      <c r="H32" s="20"/>
      <c r="I32" s="20"/>
      <c r="J32" s="20"/>
      <c r="K32" s="20"/>
      <c r="L32" s="20"/>
      <c r="M32" s="20">
        <v>92</v>
      </c>
      <c r="N32" s="20"/>
      <c r="O32" s="19">
        <f t="shared" si="15"/>
        <v>2095.1</v>
      </c>
      <c r="P32" s="19">
        <f t="shared" si="16"/>
        <v>2003.1</v>
      </c>
      <c r="Q32" s="20">
        <f t="shared" si="17"/>
        <v>180.279</v>
      </c>
      <c r="R32" s="20"/>
      <c r="S32" s="20">
        <f t="shared" si="18"/>
        <v>180.279</v>
      </c>
      <c r="T32" s="19">
        <f t="shared" si="19"/>
        <v>2183.3789999999999</v>
      </c>
      <c r="U32" s="21" t="s">
        <v>18</v>
      </c>
      <c r="V32" s="20">
        <f>200.31+26.64+24.64</f>
        <v>251.58999999999997</v>
      </c>
    </row>
    <row r="33" spans="1:22" ht="15.75">
      <c r="A33" s="22">
        <v>9</v>
      </c>
      <c r="B33" s="23" t="s">
        <v>54</v>
      </c>
      <c r="C33" s="17">
        <v>90</v>
      </c>
      <c r="D33" s="18">
        <v>5</v>
      </c>
      <c r="E33" s="19">
        <v>1848</v>
      </c>
      <c r="F33" s="20">
        <f>75+92+192.3</f>
        <v>359.3</v>
      </c>
      <c r="G33" s="20"/>
      <c r="H33" s="20"/>
      <c r="I33" s="20"/>
      <c r="J33" s="20"/>
      <c r="K33" s="20"/>
      <c r="L33" s="20"/>
      <c r="M33" s="20">
        <v>80.5</v>
      </c>
      <c r="N33" s="20"/>
      <c r="O33" s="19">
        <f t="shared" si="15"/>
        <v>2287.8000000000002</v>
      </c>
      <c r="P33" s="19">
        <f t="shared" si="16"/>
        <v>2207.3000000000002</v>
      </c>
      <c r="Q33" s="20">
        <f t="shared" si="17"/>
        <v>198.65700000000001</v>
      </c>
      <c r="R33" s="20"/>
      <c r="S33" s="20">
        <f t="shared" si="18"/>
        <v>198.65700000000001</v>
      </c>
      <c r="T33" s="19">
        <f t="shared" si="19"/>
        <v>2405.9570000000003</v>
      </c>
      <c r="U33" s="21" t="s">
        <v>1</v>
      </c>
      <c r="V33" s="20">
        <f>+P33*13%</f>
        <v>286.94900000000001</v>
      </c>
    </row>
    <row r="34" spans="1:22" ht="15.75">
      <c r="A34" s="22">
        <v>10</v>
      </c>
      <c r="B34" s="23" t="s">
        <v>55</v>
      </c>
      <c r="C34" s="17">
        <v>53</v>
      </c>
      <c r="D34" s="18">
        <v>5</v>
      </c>
      <c r="E34" s="19">
        <v>1899</v>
      </c>
      <c r="F34" s="20">
        <v>75</v>
      </c>
      <c r="G34" s="20"/>
      <c r="H34" s="20"/>
      <c r="I34" s="20"/>
      <c r="J34" s="20"/>
      <c r="K34" s="20">
        <v>1974</v>
      </c>
      <c r="L34" s="20"/>
      <c r="M34" s="20"/>
      <c r="N34" s="20"/>
      <c r="O34" s="19">
        <f t="shared" si="15"/>
        <v>3948</v>
      </c>
      <c r="P34" s="19">
        <f t="shared" si="16"/>
        <v>3948</v>
      </c>
      <c r="Q34" s="20">
        <f t="shared" si="17"/>
        <v>355.32</v>
      </c>
      <c r="R34" s="20"/>
      <c r="S34" s="20">
        <f t="shared" si="18"/>
        <v>355.32</v>
      </c>
      <c r="T34" s="19">
        <f t="shared" si="19"/>
        <v>4303.32</v>
      </c>
      <c r="U34" s="21" t="s">
        <v>18</v>
      </c>
      <c r="V34" s="20">
        <f>+P34*12.88%</f>
        <v>508.50239999999997</v>
      </c>
    </row>
  </sheetData>
  <sortState ref="A18:V33">
    <sortCondition ref="B18"/>
  </sortState>
  <pageMargins left="0.15748031496062992" right="0.15748031496062992" top="0.31" bottom="0.74803149606299213" header="0.31496062992125984" footer="0.31496062992125984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34"/>
  <sheetViews>
    <sheetView workbookViewId="0">
      <selection activeCell="A5" sqref="A5:N6"/>
    </sheetView>
  </sheetViews>
  <sheetFormatPr baseColWidth="10" defaultRowHeight="15"/>
  <cols>
    <col min="1" max="1" width="4.140625" customWidth="1"/>
    <col min="2" max="2" width="21.28515625" customWidth="1"/>
    <col min="3" max="3" width="3.85546875" customWidth="1"/>
    <col min="4" max="4" width="4" customWidth="1"/>
    <col min="5" max="5" width="9.140625" customWidth="1"/>
    <col min="6" max="7" width="8.140625" customWidth="1"/>
    <col min="8" max="8" width="5.5703125" customWidth="1"/>
    <col min="9" max="9" width="5.7109375" customWidth="1"/>
    <col min="10" max="10" width="4.85546875" customWidth="1"/>
    <col min="11" max="11" width="8.28515625" customWidth="1"/>
    <col min="12" max="12" width="4.85546875" customWidth="1"/>
    <col min="13" max="13" width="6.7109375" customWidth="1"/>
    <col min="14" max="14" width="8.28515625" customWidth="1"/>
    <col min="15" max="15" width="9.42578125" customWidth="1"/>
    <col min="16" max="16" width="9.140625" customWidth="1"/>
    <col min="17" max="17" width="8.42578125" customWidth="1"/>
    <col min="18" max="18" width="5" customWidth="1"/>
    <col min="19" max="19" width="8.140625" customWidth="1"/>
    <col min="20" max="20" width="9.42578125" customWidth="1"/>
    <col min="21" max="21" width="6.28515625" customWidth="1"/>
    <col min="22" max="22" width="8.140625" customWidth="1"/>
  </cols>
  <sheetData>
    <row r="1" spans="1:23">
      <c r="A1" s="63">
        <v>1</v>
      </c>
      <c r="B1" s="64" t="s">
        <v>33</v>
      </c>
    </row>
    <row r="2" spans="1:23" ht="16.5" thickBot="1">
      <c r="A2" s="53">
        <v>1</v>
      </c>
      <c r="B2" s="54" t="s">
        <v>56</v>
      </c>
      <c r="C2" s="55">
        <v>180</v>
      </c>
      <c r="D2" s="56">
        <v>5</v>
      </c>
      <c r="E2" s="57">
        <v>2920</v>
      </c>
      <c r="F2" s="58">
        <v>75</v>
      </c>
      <c r="G2" s="58">
        <v>300</v>
      </c>
      <c r="H2" s="58"/>
      <c r="I2" s="58"/>
      <c r="J2" s="58"/>
      <c r="K2" s="58">
        <v>2920</v>
      </c>
      <c r="L2" s="58"/>
      <c r="M2" s="58"/>
      <c r="N2" s="58"/>
      <c r="O2" s="26">
        <f t="shared" ref="O2" si="0">SUM(E2:N2)</f>
        <v>6215</v>
      </c>
      <c r="P2" s="26">
        <f t="shared" ref="P2" si="1">O2-M2-J2</f>
        <v>6215</v>
      </c>
      <c r="Q2" s="27">
        <f t="shared" ref="Q2" si="2">P2*9%</f>
        <v>559.35</v>
      </c>
      <c r="R2" s="27"/>
      <c r="S2" s="27">
        <f t="shared" ref="S2" si="3">Q2+R2</f>
        <v>559.35</v>
      </c>
      <c r="T2" s="26">
        <f t="shared" ref="T2" si="4">P2+S2</f>
        <v>6774.35</v>
      </c>
      <c r="U2" s="28" t="s">
        <v>57</v>
      </c>
      <c r="V2" s="27">
        <f>329.5+43.82+48.11</f>
        <v>421.43</v>
      </c>
      <c r="W2" t="s">
        <v>59</v>
      </c>
    </row>
    <row r="3" spans="1:23" ht="15.75">
      <c r="A3" s="47">
        <v>1</v>
      </c>
      <c r="B3" s="48" t="s">
        <v>3</v>
      </c>
      <c r="C3" s="49"/>
      <c r="D3" s="50"/>
      <c r="E3" s="51"/>
      <c r="F3" s="52"/>
      <c r="G3" s="52"/>
      <c r="H3" s="52"/>
      <c r="I3" s="52"/>
      <c r="J3" s="52"/>
      <c r="K3" s="52"/>
      <c r="L3" s="52"/>
      <c r="M3" s="52"/>
      <c r="N3" s="52"/>
      <c r="O3" s="19">
        <f>SUM(E3:N3)</f>
        <v>0</v>
      </c>
      <c r="P3" s="19">
        <f>O3-M3-J3</f>
        <v>0</v>
      </c>
      <c r="Q3" s="20">
        <f>P3*9%</f>
        <v>0</v>
      </c>
      <c r="R3" s="20"/>
      <c r="S3" s="20">
        <f>Q3+R3</f>
        <v>0</v>
      </c>
      <c r="T3" s="19">
        <f>P3+S3</f>
        <v>0</v>
      </c>
      <c r="U3" s="21" t="s">
        <v>2</v>
      </c>
      <c r="V3" s="20">
        <f>+P3*12.93%</f>
        <v>0</v>
      </c>
      <c r="W3" t="s">
        <v>59</v>
      </c>
    </row>
    <row r="4" spans="1:23" ht="16.5" thickBot="1">
      <c r="A4" s="53">
        <v>1</v>
      </c>
      <c r="B4" s="54" t="s">
        <v>56</v>
      </c>
      <c r="C4" s="59"/>
      <c r="D4" s="60"/>
      <c r="E4" s="61"/>
      <c r="F4" s="62"/>
      <c r="G4" s="62"/>
      <c r="H4" s="62"/>
      <c r="I4" s="62"/>
      <c r="J4" s="62"/>
      <c r="K4" s="62"/>
      <c r="L4" s="62"/>
      <c r="M4" s="62"/>
      <c r="N4" s="62"/>
      <c r="O4" s="19"/>
      <c r="P4" s="19"/>
      <c r="Q4" s="20"/>
      <c r="R4" s="20"/>
      <c r="S4" s="20"/>
      <c r="T4" s="19"/>
      <c r="U4" s="21"/>
      <c r="V4" s="20"/>
    </row>
    <row r="5" spans="1:23" ht="15.75">
      <c r="A5" s="47">
        <v>1</v>
      </c>
      <c r="B5" s="48" t="s">
        <v>51</v>
      </c>
      <c r="C5" s="49"/>
      <c r="D5" s="50"/>
      <c r="E5" s="51"/>
      <c r="F5" s="52"/>
      <c r="G5" s="52"/>
      <c r="H5" s="52"/>
      <c r="I5" s="52"/>
      <c r="J5" s="52"/>
      <c r="K5" s="52"/>
      <c r="L5" s="52"/>
      <c r="M5" s="52"/>
      <c r="N5" s="52"/>
      <c r="O5" s="19"/>
      <c r="P5" s="19"/>
      <c r="Q5" s="20"/>
      <c r="R5" s="20"/>
      <c r="S5" s="20"/>
      <c r="T5" s="19"/>
      <c r="U5" s="21"/>
      <c r="V5" s="20"/>
    </row>
    <row r="6" spans="1:23" ht="16.5" thickBot="1">
      <c r="A6" s="73">
        <v>2</v>
      </c>
      <c r="B6" s="74" t="s">
        <v>24</v>
      </c>
      <c r="C6" s="59"/>
      <c r="D6" s="60"/>
      <c r="E6" s="61"/>
      <c r="F6" s="62"/>
      <c r="G6" s="62"/>
      <c r="H6" s="62"/>
      <c r="I6" s="62"/>
      <c r="J6" s="62"/>
      <c r="K6" s="62"/>
      <c r="L6" s="62"/>
      <c r="M6" s="62"/>
      <c r="N6" s="62"/>
      <c r="O6" s="19"/>
      <c r="P6" s="19"/>
      <c r="Q6" s="20"/>
      <c r="R6" s="20"/>
      <c r="S6" s="20"/>
      <c r="T6" s="19"/>
      <c r="U6" s="21"/>
      <c r="V6" s="20"/>
    </row>
    <row r="7" spans="1:23" ht="15.75">
      <c r="A7" s="47">
        <v>1</v>
      </c>
      <c r="B7" s="48" t="s">
        <v>5</v>
      </c>
      <c r="C7" s="49">
        <v>65</v>
      </c>
      <c r="D7" s="50">
        <v>5</v>
      </c>
      <c r="E7" s="51">
        <v>1899</v>
      </c>
      <c r="F7" s="52">
        <f>75+104+50</f>
        <v>229</v>
      </c>
      <c r="G7" s="52">
        <v>300</v>
      </c>
      <c r="H7" s="52"/>
      <c r="I7" s="52">
        <v>18.55</v>
      </c>
      <c r="J7" s="52"/>
      <c r="K7" s="52"/>
      <c r="L7" s="52"/>
      <c r="M7" s="52"/>
      <c r="N7" s="52"/>
      <c r="O7" s="19">
        <f>SUM(E7:N7)</f>
        <v>2446.5500000000002</v>
      </c>
      <c r="P7" s="19">
        <f>O7-M7-J7</f>
        <v>2446.5500000000002</v>
      </c>
      <c r="Q7" s="20">
        <f>P7*9%</f>
        <v>220.18950000000001</v>
      </c>
      <c r="R7" s="20"/>
      <c r="S7" s="20">
        <f>Q7+R7</f>
        <v>220.18950000000001</v>
      </c>
      <c r="T7" s="19">
        <f>P7+S7</f>
        <v>2666.7395000000001</v>
      </c>
      <c r="U7" s="21" t="s">
        <v>0</v>
      </c>
      <c r="V7" s="20">
        <f>+P7*13.02%</f>
        <v>318.54080999999996</v>
      </c>
      <c r="W7" t="s">
        <v>59</v>
      </c>
    </row>
    <row r="8" spans="1:23" ht="15.75">
      <c r="A8" s="22">
        <v>2</v>
      </c>
      <c r="B8" s="23" t="s">
        <v>34</v>
      </c>
      <c r="C8" s="17">
        <v>113</v>
      </c>
      <c r="D8" s="18">
        <v>5</v>
      </c>
      <c r="E8" s="19">
        <v>1666</v>
      </c>
      <c r="F8" s="20">
        <f>75+174.1</f>
        <v>249.1</v>
      </c>
      <c r="G8" s="20">
        <v>250</v>
      </c>
      <c r="H8" s="20"/>
      <c r="I8" s="20"/>
      <c r="J8" s="20"/>
      <c r="K8" s="20"/>
      <c r="L8" s="20"/>
      <c r="M8" s="20">
        <v>80.5</v>
      </c>
      <c r="N8" s="20">
        <v>233</v>
      </c>
      <c r="O8" s="19">
        <f t="shared" ref="O8:O10" si="5">SUM(E8:N8)</f>
        <v>2478.6</v>
      </c>
      <c r="P8" s="19">
        <f t="shared" ref="P8:P10" si="6">O8-M8-J8</f>
        <v>2398.1</v>
      </c>
      <c r="Q8" s="20">
        <f t="shared" ref="Q8:Q10" si="7">P8*9%</f>
        <v>215.82899999999998</v>
      </c>
      <c r="R8" s="20"/>
      <c r="S8" s="20">
        <f t="shared" ref="S8:S10" si="8">Q8+R8</f>
        <v>215.82899999999998</v>
      </c>
      <c r="T8" s="19">
        <f t="shared" ref="T8:T10" si="9">P8+S8</f>
        <v>2613.9290000000001</v>
      </c>
      <c r="U8" s="21" t="s">
        <v>18</v>
      </c>
      <c r="V8" s="20">
        <f>+P8*12.88%</f>
        <v>308.87527999999998</v>
      </c>
      <c r="W8" t="s">
        <v>59</v>
      </c>
    </row>
    <row r="9" spans="1:23" ht="15.75">
      <c r="A9" s="22">
        <v>3</v>
      </c>
      <c r="B9" s="23" t="s">
        <v>7</v>
      </c>
      <c r="C9" s="17">
        <v>62</v>
      </c>
      <c r="D9" s="18">
        <v>5</v>
      </c>
      <c r="E9" s="19">
        <v>1727</v>
      </c>
      <c r="F9" s="20">
        <f>75+104+50</f>
        <v>229</v>
      </c>
      <c r="G9" s="20"/>
      <c r="H9" s="20"/>
      <c r="I9" s="20"/>
      <c r="J9" s="20"/>
      <c r="K9" s="20"/>
      <c r="L9" s="20"/>
      <c r="M9" s="20"/>
      <c r="N9" s="20">
        <v>121</v>
      </c>
      <c r="O9" s="19">
        <f t="shared" si="5"/>
        <v>2077</v>
      </c>
      <c r="P9" s="19">
        <f t="shared" si="6"/>
        <v>2077</v>
      </c>
      <c r="Q9" s="20">
        <f t="shared" si="7"/>
        <v>186.93</v>
      </c>
      <c r="R9" s="20"/>
      <c r="S9" s="20">
        <f t="shared" si="8"/>
        <v>186.93</v>
      </c>
      <c r="T9" s="19">
        <f t="shared" si="9"/>
        <v>2263.9299999999998</v>
      </c>
      <c r="U9" s="21" t="s">
        <v>2</v>
      </c>
      <c r="V9" s="20">
        <f>+P9*12.93%</f>
        <v>268.55610000000001</v>
      </c>
      <c r="W9" t="s">
        <v>59</v>
      </c>
    </row>
    <row r="10" spans="1:23" ht="16.5" thickBot="1">
      <c r="A10" s="53">
        <v>4</v>
      </c>
      <c r="B10" s="54" t="s">
        <v>8</v>
      </c>
      <c r="C10" s="55">
        <v>85</v>
      </c>
      <c r="D10" s="56">
        <v>5</v>
      </c>
      <c r="E10" s="57">
        <v>1951</v>
      </c>
      <c r="F10" s="58">
        <f>75+104</f>
        <v>179</v>
      </c>
      <c r="G10" s="58">
        <v>72.75</v>
      </c>
      <c r="H10" s="58"/>
      <c r="I10" s="58"/>
      <c r="J10" s="58"/>
      <c r="K10" s="58"/>
      <c r="L10" s="58"/>
      <c r="M10" s="58"/>
      <c r="N10" s="58"/>
      <c r="O10" s="19">
        <f t="shared" si="5"/>
        <v>2202.75</v>
      </c>
      <c r="P10" s="19">
        <f t="shared" si="6"/>
        <v>2202.75</v>
      </c>
      <c r="Q10" s="20">
        <f t="shared" si="7"/>
        <v>198.2475</v>
      </c>
      <c r="R10" s="20"/>
      <c r="S10" s="20">
        <f t="shared" si="8"/>
        <v>198.2475</v>
      </c>
      <c r="T10" s="19">
        <f t="shared" si="9"/>
        <v>2400.9974999999999</v>
      </c>
      <c r="U10" s="21" t="s">
        <v>18</v>
      </c>
      <c r="V10" s="20">
        <f>+P10*12.88%</f>
        <v>283.71420000000001</v>
      </c>
      <c r="W10" t="s">
        <v>59</v>
      </c>
    </row>
    <row r="11" spans="1:23" ht="15.75">
      <c r="A11" s="47">
        <v>1</v>
      </c>
      <c r="B11" s="48" t="s">
        <v>35</v>
      </c>
      <c r="C11" s="49"/>
      <c r="D11" s="50">
        <v>5</v>
      </c>
      <c r="E11" s="51">
        <v>905</v>
      </c>
      <c r="F11" s="52">
        <f>75+104</f>
        <v>179</v>
      </c>
      <c r="G11" s="52"/>
      <c r="H11" s="52"/>
      <c r="I11" s="52"/>
      <c r="J11" s="52"/>
      <c r="K11" s="52"/>
      <c r="L11" s="52"/>
      <c r="M11" s="52"/>
      <c r="N11" s="52">
        <v>304.39999999999998</v>
      </c>
      <c r="O11" s="19">
        <f>SUM(E11:N11)</f>
        <v>1388.4</v>
      </c>
      <c r="P11" s="19">
        <f>O11-M11-J11</f>
        <v>1388.4</v>
      </c>
      <c r="Q11" s="20">
        <f>P11*9%</f>
        <v>124.956</v>
      </c>
      <c r="R11" s="20"/>
      <c r="S11" s="20">
        <f>Q11+R11</f>
        <v>124.956</v>
      </c>
      <c r="T11" s="19">
        <f>P11+S11</f>
        <v>1513.356</v>
      </c>
      <c r="U11" s="21" t="s">
        <v>0</v>
      </c>
      <c r="V11" s="20">
        <f>+P11*13.02%</f>
        <v>180.76967999999999</v>
      </c>
      <c r="W11" t="s">
        <v>59</v>
      </c>
    </row>
    <row r="12" spans="1:23" ht="15.75">
      <c r="A12" s="22">
        <v>2</v>
      </c>
      <c r="B12" s="23" t="s">
        <v>48</v>
      </c>
      <c r="C12" s="17"/>
      <c r="D12" s="18"/>
      <c r="E12" s="19">
        <v>880</v>
      </c>
      <c r="F12" s="20">
        <v>104</v>
      </c>
      <c r="G12" s="20"/>
      <c r="H12" s="20"/>
      <c r="I12" s="20"/>
      <c r="J12" s="20"/>
      <c r="K12" s="20"/>
      <c r="L12" s="20"/>
      <c r="M12" s="20"/>
      <c r="N12" s="20">
        <v>786</v>
      </c>
      <c r="O12" s="19">
        <f t="shared" ref="O12:O13" si="10">SUM(E12:N12)</f>
        <v>1770</v>
      </c>
      <c r="P12" s="19">
        <f t="shared" ref="P12:P13" si="11">O12-M12-J12</f>
        <v>1770</v>
      </c>
      <c r="Q12" s="20">
        <f t="shared" ref="Q12:Q13" si="12">P12*9%</f>
        <v>159.29999999999998</v>
      </c>
      <c r="R12" s="20"/>
      <c r="S12" s="20">
        <f t="shared" ref="S12:S13" si="13">Q12+R12</f>
        <v>159.29999999999998</v>
      </c>
      <c r="T12" s="19">
        <f t="shared" ref="T12:T13" si="14">P12+S12</f>
        <v>1929.3</v>
      </c>
      <c r="U12" s="21" t="s">
        <v>2</v>
      </c>
      <c r="V12" s="20">
        <f>+P12*12.93%</f>
        <v>228.86099999999999</v>
      </c>
      <c r="W12" t="s">
        <v>59</v>
      </c>
    </row>
    <row r="13" spans="1:23" ht="16.5" thickBot="1">
      <c r="A13" s="53">
        <v>3</v>
      </c>
      <c r="B13" s="54" t="s">
        <v>49</v>
      </c>
      <c r="C13" s="55"/>
      <c r="D13" s="56">
        <v>5</v>
      </c>
      <c r="E13" s="57">
        <v>905</v>
      </c>
      <c r="F13" s="58">
        <f>92+111.07+90.5+30.17</f>
        <v>323.74</v>
      </c>
      <c r="G13" s="58"/>
      <c r="H13" s="58"/>
      <c r="I13" s="58"/>
      <c r="J13" s="58"/>
      <c r="K13" s="58"/>
      <c r="L13" s="58"/>
      <c r="M13" s="58">
        <v>80.5</v>
      </c>
      <c r="N13" s="58">
        <v>761</v>
      </c>
      <c r="O13" s="19">
        <f t="shared" si="10"/>
        <v>2070.2399999999998</v>
      </c>
      <c r="P13" s="19">
        <f t="shared" si="11"/>
        <v>1989.7399999999998</v>
      </c>
      <c r="Q13" s="20">
        <f t="shared" si="12"/>
        <v>179.07659999999998</v>
      </c>
      <c r="R13" s="20"/>
      <c r="S13" s="20">
        <f t="shared" si="13"/>
        <v>179.07659999999998</v>
      </c>
      <c r="T13" s="19">
        <f t="shared" si="14"/>
        <v>2168.8165999999997</v>
      </c>
      <c r="U13" s="21" t="s">
        <v>2</v>
      </c>
      <c r="V13" s="20">
        <f>+P13*12.93%</f>
        <v>257.27338199999997</v>
      </c>
      <c r="W13" t="s">
        <v>59</v>
      </c>
    </row>
    <row r="14" spans="1:23" ht="15.75">
      <c r="A14" s="89">
        <v>1</v>
      </c>
      <c r="B14" s="90" t="s">
        <v>38</v>
      </c>
      <c r="C14" s="49"/>
      <c r="D14" s="50"/>
      <c r="E14" s="51"/>
      <c r="F14" s="52"/>
      <c r="G14" s="52"/>
      <c r="H14" s="52"/>
      <c r="I14" s="52"/>
      <c r="J14" s="52"/>
      <c r="K14" s="52"/>
      <c r="L14" s="52"/>
      <c r="M14" s="52"/>
      <c r="N14" s="52"/>
      <c r="O14" s="19"/>
      <c r="P14" s="19"/>
      <c r="Q14" s="20"/>
      <c r="R14" s="20"/>
      <c r="S14" s="20"/>
      <c r="T14" s="19"/>
      <c r="U14" s="21"/>
      <c r="V14" s="20"/>
    </row>
    <row r="15" spans="1:23" ht="15.75">
      <c r="A15" s="63">
        <v>2</v>
      </c>
      <c r="B15" s="64" t="s">
        <v>26</v>
      </c>
      <c r="C15" s="49"/>
      <c r="D15" s="50"/>
      <c r="E15" s="51"/>
      <c r="F15" s="52"/>
      <c r="G15" s="52"/>
      <c r="H15" s="52"/>
      <c r="I15" s="52"/>
      <c r="J15" s="52"/>
      <c r="K15" s="52"/>
      <c r="L15" s="52"/>
      <c r="M15" s="52"/>
      <c r="N15" s="52"/>
      <c r="O15" s="19"/>
      <c r="P15" s="19"/>
      <c r="Q15" s="20"/>
      <c r="R15" s="20"/>
      <c r="S15" s="20"/>
      <c r="T15" s="19"/>
      <c r="U15" s="21"/>
      <c r="V15" s="20"/>
    </row>
    <row r="16" spans="1:23" ht="15.75">
      <c r="A16" s="63">
        <v>1</v>
      </c>
      <c r="B16" s="29" t="s">
        <v>58</v>
      </c>
      <c r="C16" s="49"/>
      <c r="D16" s="50"/>
      <c r="E16" s="51"/>
      <c r="F16" s="52"/>
      <c r="G16" s="52"/>
      <c r="H16" s="52"/>
      <c r="I16" s="52"/>
      <c r="J16" s="52"/>
      <c r="K16" s="52"/>
      <c r="L16" s="52"/>
      <c r="M16" s="52"/>
      <c r="N16" s="52"/>
      <c r="O16" s="19"/>
      <c r="P16" s="19"/>
      <c r="Q16" s="20"/>
      <c r="R16" s="20"/>
      <c r="S16" s="20"/>
      <c r="T16" s="19"/>
      <c r="U16" s="21"/>
      <c r="V16" s="20"/>
    </row>
    <row r="17" spans="1:23" ht="15.75">
      <c r="A17" s="47">
        <v>1</v>
      </c>
      <c r="B17" s="48" t="s">
        <v>32</v>
      </c>
      <c r="C17" s="49">
        <v>20</v>
      </c>
      <c r="D17" s="50">
        <v>5</v>
      </c>
      <c r="E17" s="51">
        <v>1899</v>
      </c>
      <c r="F17" s="52">
        <v>104</v>
      </c>
      <c r="G17" s="52"/>
      <c r="H17" s="52"/>
      <c r="I17" s="52"/>
      <c r="J17" s="52"/>
      <c r="K17" s="52"/>
      <c r="L17" s="52"/>
      <c r="M17" s="52"/>
      <c r="N17" s="52"/>
      <c r="O17" s="19">
        <f>SUM(E17:N17)</f>
        <v>2003</v>
      </c>
      <c r="P17" s="19">
        <f>O17-M17-J17</f>
        <v>2003</v>
      </c>
      <c r="Q17" s="20">
        <f>P17*9%</f>
        <v>180.26999999999998</v>
      </c>
      <c r="R17" s="20"/>
      <c r="S17" s="20">
        <f>Q17+R17</f>
        <v>180.26999999999998</v>
      </c>
      <c r="T17" s="19">
        <f>P17+S17</f>
        <v>2183.27</v>
      </c>
      <c r="U17" s="21" t="s">
        <v>19</v>
      </c>
      <c r="V17" s="20">
        <f>199.5+26.53+7.58</f>
        <v>233.61</v>
      </c>
      <c r="W17" t="s">
        <v>59</v>
      </c>
    </row>
    <row r="18" spans="1:23" ht="16.5" thickBot="1">
      <c r="A18" s="53">
        <v>1</v>
      </c>
      <c r="B18" s="54" t="s">
        <v>52</v>
      </c>
      <c r="C18" s="55">
        <v>67</v>
      </c>
      <c r="D18" s="56">
        <v>5</v>
      </c>
      <c r="E18" s="57">
        <v>2121</v>
      </c>
      <c r="F18" s="58"/>
      <c r="G18" s="58"/>
      <c r="H18" s="58"/>
      <c r="I18" s="58"/>
      <c r="J18" s="58"/>
      <c r="K18" s="58">
        <v>2121</v>
      </c>
      <c r="L18" s="58"/>
      <c r="M18" s="58"/>
      <c r="N18" s="58"/>
      <c r="O18" s="19">
        <f>SUM(E18:N18)</f>
        <v>4242</v>
      </c>
      <c r="P18" s="19">
        <f>O18-M18-J18</f>
        <v>4242</v>
      </c>
      <c r="Q18" s="20">
        <f>P18*9%</f>
        <v>381.78</v>
      </c>
      <c r="R18" s="20"/>
      <c r="S18" s="20">
        <f>Q18+R18</f>
        <v>381.78</v>
      </c>
      <c r="T18" s="19">
        <f>P18+S18</f>
        <v>4623.78</v>
      </c>
      <c r="U18" s="21" t="s">
        <v>19</v>
      </c>
      <c r="V18" s="20">
        <f>221.7+29.49+8.42</f>
        <v>259.61</v>
      </c>
      <c r="W18" t="s">
        <v>59</v>
      </c>
    </row>
    <row r="19" spans="1:23" ht="15.75">
      <c r="A19" s="47">
        <v>1</v>
      </c>
      <c r="B19" s="48" t="s">
        <v>47</v>
      </c>
      <c r="C19" s="49"/>
      <c r="D19" s="50"/>
      <c r="E19" s="51"/>
      <c r="F19" s="52"/>
      <c r="G19" s="52"/>
      <c r="H19" s="52"/>
      <c r="I19" s="52"/>
      <c r="J19" s="52"/>
      <c r="K19" s="52"/>
      <c r="L19" s="52"/>
      <c r="M19" s="52"/>
      <c r="N19" s="52"/>
      <c r="O19" s="19"/>
      <c r="P19" s="19"/>
      <c r="Q19" s="20"/>
      <c r="R19" s="20"/>
      <c r="S19" s="20"/>
      <c r="T19" s="19"/>
      <c r="U19" s="21"/>
      <c r="V19" s="20"/>
    </row>
    <row r="20" spans="1:23" ht="15.75">
      <c r="A20" s="47">
        <v>1</v>
      </c>
      <c r="B20" s="48" t="s">
        <v>27</v>
      </c>
      <c r="C20" s="49">
        <v>66</v>
      </c>
      <c r="D20" s="50">
        <v>5</v>
      </c>
      <c r="E20" s="51">
        <v>1899</v>
      </c>
      <c r="F20" s="52">
        <f>75+263.2+263.2+50</f>
        <v>651.4</v>
      </c>
      <c r="G20" s="52"/>
      <c r="H20" s="52"/>
      <c r="I20" s="52"/>
      <c r="J20" s="52"/>
      <c r="K20" s="52"/>
      <c r="L20" s="52"/>
      <c r="M20" s="52"/>
      <c r="N20" s="52"/>
      <c r="O20" s="19">
        <f>SUM(E20:N20)</f>
        <v>2550.4</v>
      </c>
      <c r="P20" s="19">
        <f>O20-M20-J20</f>
        <v>2550.4</v>
      </c>
      <c r="Q20" s="20">
        <f>P20*9%</f>
        <v>229.536</v>
      </c>
      <c r="R20" s="20"/>
      <c r="S20" s="20">
        <f>Q20+R20</f>
        <v>229.536</v>
      </c>
      <c r="T20" s="19">
        <f>P20+S20</f>
        <v>2779.9360000000001</v>
      </c>
      <c r="U20" s="21" t="s">
        <v>18</v>
      </c>
      <c r="V20" s="20">
        <f>+P20*12.88%</f>
        <v>328.49151999999998</v>
      </c>
      <c r="W20" t="s">
        <v>59</v>
      </c>
    </row>
    <row r="21" spans="1:23" ht="15.75">
      <c r="A21" s="22">
        <v>1</v>
      </c>
      <c r="B21" s="23" t="s">
        <v>25</v>
      </c>
      <c r="C21" s="17">
        <v>17</v>
      </c>
      <c r="D21" s="18">
        <v>5</v>
      </c>
      <c r="E21" s="19">
        <v>1666</v>
      </c>
      <c r="F21" s="20">
        <f>75+92+174.1</f>
        <v>341.1</v>
      </c>
      <c r="G21" s="20"/>
      <c r="H21" s="20"/>
      <c r="I21" s="20"/>
      <c r="J21" s="20"/>
      <c r="K21" s="20"/>
      <c r="L21" s="20"/>
      <c r="M21" s="20">
        <v>92</v>
      </c>
      <c r="N21" s="20"/>
      <c r="O21" s="19">
        <f>SUM(E21:N21)</f>
        <v>2099.1</v>
      </c>
      <c r="P21" s="19">
        <f>O21-M21-J21</f>
        <v>2007.1</v>
      </c>
      <c r="Q21" s="20">
        <f>P21*9%</f>
        <v>180.63899999999998</v>
      </c>
      <c r="R21" s="20"/>
      <c r="S21" s="20">
        <f>Q21+R21</f>
        <v>180.63899999999998</v>
      </c>
      <c r="T21" s="19">
        <f>P21+S21</f>
        <v>2187.739</v>
      </c>
      <c r="U21" s="21" t="s">
        <v>2</v>
      </c>
      <c r="V21" s="20">
        <f>+P21*12.93%</f>
        <v>259.51803000000001</v>
      </c>
      <c r="W21" t="s">
        <v>59</v>
      </c>
    </row>
    <row r="22" spans="1:23" ht="15.75">
      <c r="A22" s="22">
        <v>2</v>
      </c>
      <c r="B22" s="23" t="s">
        <v>44</v>
      </c>
      <c r="C22" s="17"/>
      <c r="D22" s="18"/>
      <c r="E22" s="19"/>
      <c r="F22" s="20"/>
      <c r="G22" s="20"/>
      <c r="H22" s="20"/>
      <c r="I22" s="20"/>
      <c r="J22" s="20"/>
      <c r="K22" s="20"/>
      <c r="L22" s="20"/>
      <c r="M22" s="20"/>
      <c r="N22" s="20"/>
      <c r="O22" s="19"/>
      <c r="P22" s="19"/>
      <c r="Q22" s="20"/>
      <c r="R22" s="20"/>
      <c r="S22" s="20"/>
      <c r="T22" s="19"/>
      <c r="U22" s="21"/>
      <c r="V22" s="20"/>
    </row>
    <row r="23" spans="1:23" ht="15.75">
      <c r="A23" s="22">
        <v>3</v>
      </c>
      <c r="B23" s="23" t="s">
        <v>11</v>
      </c>
      <c r="C23" s="17"/>
      <c r="D23" s="18"/>
      <c r="E23" s="19"/>
      <c r="F23" s="20"/>
      <c r="G23" s="20"/>
      <c r="H23" s="20"/>
      <c r="I23" s="20"/>
      <c r="J23" s="20"/>
      <c r="K23" s="20"/>
      <c r="L23" s="20"/>
      <c r="M23" s="20"/>
      <c r="N23" s="20"/>
      <c r="O23" s="19"/>
      <c r="P23" s="19"/>
      <c r="Q23" s="20"/>
      <c r="R23" s="20"/>
      <c r="S23" s="20"/>
      <c r="T23" s="19"/>
      <c r="U23" s="21"/>
      <c r="V23" s="20"/>
    </row>
    <row r="24" spans="1:23" ht="15.75">
      <c r="A24" s="22">
        <v>2</v>
      </c>
      <c r="B24" s="23" t="s">
        <v>45</v>
      </c>
      <c r="C24" s="17">
        <v>8</v>
      </c>
      <c r="D24" s="18">
        <v>5</v>
      </c>
      <c r="E24" s="19">
        <v>1666</v>
      </c>
      <c r="F24" s="20">
        <f>75+104</f>
        <v>179</v>
      </c>
      <c r="G24" s="20"/>
      <c r="H24" s="20"/>
      <c r="I24" s="20"/>
      <c r="J24" s="20"/>
      <c r="K24" s="20"/>
      <c r="L24" s="20"/>
      <c r="M24" s="20"/>
      <c r="N24" s="20"/>
      <c r="O24" s="19">
        <f>SUM(E24:N24)</f>
        <v>1845</v>
      </c>
      <c r="P24" s="19">
        <f>O24-M24-J24</f>
        <v>1845</v>
      </c>
      <c r="Q24" s="20">
        <f>P24*9%</f>
        <v>166.04999999999998</v>
      </c>
      <c r="R24" s="20"/>
      <c r="S24" s="20">
        <f>Q24+R24</f>
        <v>166.04999999999998</v>
      </c>
      <c r="T24" s="19">
        <f>P24+S24</f>
        <v>2011.05</v>
      </c>
      <c r="U24" s="21" t="s">
        <v>18</v>
      </c>
      <c r="V24" s="20">
        <f>+P24*12.88%</f>
        <v>237.636</v>
      </c>
      <c r="W24" t="s">
        <v>59</v>
      </c>
    </row>
    <row r="25" spans="1:23" ht="15.75">
      <c r="A25" s="22">
        <v>3</v>
      </c>
      <c r="B25" s="23" t="s">
        <v>46</v>
      </c>
      <c r="C25" s="17">
        <v>28</v>
      </c>
      <c r="D25" s="18">
        <v>5</v>
      </c>
      <c r="E25" s="19">
        <v>1848</v>
      </c>
      <c r="F25" s="20">
        <f>75+92+128.2+192.3+64.1</f>
        <v>551.6</v>
      </c>
      <c r="G25" s="20"/>
      <c r="H25" s="20"/>
      <c r="I25" s="20"/>
      <c r="J25" s="20"/>
      <c r="K25" s="20"/>
      <c r="L25" s="20"/>
      <c r="M25" s="20">
        <v>92</v>
      </c>
      <c r="N25" s="20"/>
      <c r="O25" s="19">
        <f>SUM(E25:N25)</f>
        <v>2491.6</v>
      </c>
      <c r="P25" s="19">
        <f>O25-M25-J25</f>
        <v>2399.6</v>
      </c>
      <c r="Q25" s="20">
        <f>P25*9%</f>
        <v>215.96399999999997</v>
      </c>
      <c r="R25" s="20"/>
      <c r="S25" s="20">
        <f>Q25+R25</f>
        <v>215.96399999999997</v>
      </c>
      <c r="T25" s="19">
        <f>P25+S25</f>
        <v>2615.5639999999999</v>
      </c>
      <c r="U25" s="21" t="s">
        <v>18</v>
      </c>
      <c r="V25" s="20">
        <f>+P25*12.88%</f>
        <v>309.06847999999997</v>
      </c>
      <c r="W25" t="s">
        <v>59</v>
      </c>
    </row>
    <row r="26" spans="1:23">
      <c r="A26" s="22">
        <v>5</v>
      </c>
      <c r="B26" s="23" t="s">
        <v>41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</row>
    <row r="27" spans="1:23">
      <c r="A27" s="22">
        <v>5</v>
      </c>
      <c r="B27" s="23" t="s">
        <v>13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</row>
    <row r="28" spans="1:23" ht="15.75">
      <c r="A28" s="22">
        <v>2</v>
      </c>
      <c r="B28" s="23" t="s">
        <v>40</v>
      </c>
      <c r="C28" s="17">
        <v>37</v>
      </c>
      <c r="D28" s="18">
        <v>5</v>
      </c>
      <c r="E28" s="19">
        <v>1848</v>
      </c>
      <c r="F28" s="20">
        <f>75+104+128.2</f>
        <v>307.2</v>
      </c>
      <c r="G28" s="20"/>
      <c r="H28" s="20"/>
      <c r="I28" s="20"/>
      <c r="J28" s="20"/>
      <c r="K28" s="20"/>
      <c r="L28" s="20"/>
      <c r="M28" s="20"/>
      <c r="N28" s="20"/>
      <c r="O28" s="19">
        <f>SUM(E28:N28)</f>
        <v>2155.1999999999998</v>
      </c>
      <c r="P28" s="19">
        <f>O28-M28-J28</f>
        <v>2155.1999999999998</v>
      </c>
      <c r="Q28" s="20">
        <f>P28*9%</f>
        <v>193.96799999999999</v>
      </c>
      <c r="R28" s="20"/>
      <c r="S28" s="20">
        <f>Q28+R28</f>
        <v>193.96799999999999</v>
      </c>
      <c r="T28" s="19">
        <f>P28+S28</f>
        <v>2349.1679999999997</v>
      </c>
      <c r="U28" s="21" t="s">
        <v>0</v>
      </c>
      <c r="V28" s="20">
        <f>+P28*13.02%</f>
        <v>280.60703999999993</v>
      </c>
      <c r="W28" t="s">
        <v>59</v>
      </c>
    </row>
    <row r="29" spans="1:23">
      <c r="A29" s="22">
        <v>7</v>
      </c>
      <c r="B29" s="23" t="s">
        <v>30</v>
      </c>
    </row>
    <row r="30" spans="1:23" ht="15.75">
      <c r="A30" s="22">
        <v>3</v>
      </c>
      <c r="B30" s="23" t="s">
        <v>14</v>
      </c>
      <c r="C30" s="91">
        <v>72</v>
      </c>
      <c r="D30" s="93">
        <v>5</v>
      </c>
      <c r="E30" s="94">
        <v>1951</v>
      </c>
      <c r="F30" s="95">
        <f>75+104</f>
        <v>179</v>
      </c>
      <c r="G30" s="95"/>
      <c r="H30" s="95"/>
      <c r="I30" s="95"/>
      <c r="J30" s="95"/>
      <c r="K30" s="95"/>
      <c r="L30" s="95"/>
      <c r="M30" s="95"/>
      <c r="N30" s="95"/>
      <c r="O30" s="94">
        <f>SUM(E30:N30)</f>
        <v>2130</v>
      </c>
      <c r="P30" s="94">
        <f>O30-M30-J30</f>
        <v>2130</v>
      </c>
      <c r="Q30" s="95">
        <f>P30*9%</f>
        <v>191.7</v>
      </c>
      <c r="R30" s="95"/>
      <c r="S30" s="95">
        <f>Q30+R30</f>
        <v>191.7</v>
      </c>
      <c r="T30" s="94">
        <f>P30+S30</f>
        <v>2321.6999999999998</v>
      </c>
      <c r="U30" s="96" t="s">
        <v>0</v>
      </c>
      <c r="V30" s="95">
        <f>+P30*13.02%</f>
        <v>277.32599999999996</v>
      </c>
      <c r="W30" t="s">
        <v>59</v>
      </c>
    </row>
    <row r="31" spans="1:23">
      <c r="A31" s="22">
        <v>8</v>
      </c>
      <c r="B31" s="23" t="s">
        <v>53</v>
      </c>
    </row>
    <row r="32" spans="1:23">
      <c r="A32" s="22">
        <v>6</v>
      </c>
      <c r="B32" s="23" t="s">
        <v>15</v>
      </c>
    </row>
    <row r="33" spans="1:23">
      <c r="A33" s="22">
        <v>9</v>
      </c>
      <c r="B33" s="23" t="s">
        <v>54</v>
      </c>
    </row>
    <row r="34" spans="1:23" ht="15.75">
      <c r="A34" s="22">
        <v>4</v>
      </c>
      <c r="B34" s="23" t="s">
        <v>55</v>
      </c>
      <c r="C34" s="91">
        <v>57</v>
      </c>
      <c r="D34" s="93">
        <v>5</v>
      </c>
      <c r="E34" s="94">
        <v>1899</v>
      </c>
      <c r="F34" s="95">
        <f>75+131.6+52+80</f>
        <v>338.6</v>
      </c>
      <c r="G34" s="95"/>
      <c r="H34" s="95"/>
      <c r="I34" s="95"/>
      <c r="J34" s="95"/>
      <c r="K34" s="95"/>
      <c r="L34" s="95"/>
      <c r="M34" s="95"/>
      <c r="N34" s="95"/>
      <c r="O34" s="94">
        <f>SUM(E34:N34)</f>
        <v>2237.6</v>
      </c>
      <c r="P34" s="94">
        <f>O34-M34-J34</f>
        <v>2237.6</v>
      </c>
      <c r="Q34" s="95">
        <f>P34*9%</f>
        <v>201.38399999999999</v>
      </c>
      <c r="R34" s="95"/>
      <c r="S34" s="95">
        <f>Q34+R34</f>
        <v>201.38399999999999</v>
      </c>
      <c r="T34" s="94">
        <f>P34+S34</f>
        <v>2438.9839999999999</v>
      </c>
      <c r="U34" s="96" t="s">
        <v>18</v>
      </c>
      <c r="V34" s="95">
        <f>+P34*12.88%</f>
        <v>288.20287999999999</v>
      </c>
      <c r="W34" t="s">
        <v>59</v>
      </c>
    </row>
  </sheetData>
  <sortState ref="A19:W34">
    <sortCondition ref="B19"/>
  </sortState>
  <pageMargins left="0.11811023622047245" right="0.11811023622047245" top="0.35433070866141736" bottom="0.35433070866141736" header="0.31496062992125984" footer="0.31496062992125984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34"/>
  <sheetViews>
    <sheetView topLeftCell="G1" workbookViewId="0">
      <selection sqref="A1:B1048576"/>
    </sheetView>
  </sheetViews>
  <sheetFormatPr baseColWidth="10" defaultRowHeight="15"/>
  <cols>
    <col min="1" max="1" width="4.28515625" customWidth="1"/>
    <col min="2" max="2" width="24" customWidth="1"/>
    <col min="3" max="3" width="4.7109375" customWidth="1"/>
    <col min="4" max="4" width="4.28515625" customWidth="1"/>
    <col min="5" max="5" width="10" customWidth="1"/>
    <col min="6" max="6" width="9" customWidth="1"/>
    <col min="7" max="7" width="7.85546875" customWidth="1"/>
    <col min="8" max="8" width="4.85546875" customWidth="1"/>
    <col min="9" max="9" width="5.7109375" customWidth="1"/>
    <col min="10" max="10" width="9.7109375" customWidth="1"/>
    <col min="11" max="11" width="7.140625" customWidth="1"/>
    <col min="12" max="12" width="7.5703125" customWidth="1"/>
    <col min="13" max="13" width="7.140625" customWidth="1"/>
    <col min="14" max="14" width="9.28515625" customWidth="1"/>
    <col min="17" max="17" width="9" customWidth="1"/>
    <col min="18" max="18" width="7" customWidth="1"/>
    <col min="19" max="19" width="9.140625" customWidth="1"/>
    <col min="20" max="20" width="9.7109375" customWidth="1"/>
    <col min="21" max="21" width="7.85546875" customWidth="1"/>
    <col min="22" max="22" width="9.28515625" customWidth="1"/>
  </cols>
  <sheetData>
    <row r="1" spans="1:22">
      <c r="A1" s="63">
        <v>1</v>
      </c>
      <c r="B1" s="64" t="s">
        <v>33</v>
      </c>
    </row>
    <row r="2" spans="1:22" ht="16.5" thickBot="1">
      <c r="A2" s="53">
        <v>1</v>
      </c>
      <c r="B2" s="54" t="s">
        <v>56</v>
      </c>
      <c r="C2" s="55">
        <v>362</v>
      </c>
      <c r="D2" s="56">
        <v>5</v>
      </c>
      <c r="E2" s="57">
        <v>2920</v>
      </c>
      <c r="F2" s="58">
        <v>75</v>
      </c>
      <c r="G2" s="58">
        <v>300</v>
      </c>
      <c r="H2" s="58"/>
      <c r="I2" s="58"/>
      <c r="J2" s="58">
        <v>3264.55</v>
      </c>
      <c r="K2" s="58"/>
      <c r="L2" s="58"/>
      <c r="M2" s="58"/>
      <c r="N2" s="58"/>
      <c r="O2" s="26">
        <f t="shared" ref="O2" si="0">SUM(E2:N2)</f>
        <v>6559.55</v>
      </c>
      <c r="P2" s="26">
        <f t="shared" ref="P2" si="1">O2-M2-J2</f>
        <v>3295</v>
      </c>
      <c r="Q2" s="27">
        <f t="shared" ref="Q2" si="2">P2*9%</f>
        <v>296.55</v>
      </c>
      <c r="R2" s="27"/>
      <c r="S2" s="27">
        <f t="shared" ref="S2" si="3">Q2+R2</f>
        <v>296.55</v>
      </c>
      <c r="T2" s="26">
        <f t="shared" ref="T2" si="4">P2+S2</f>
        <v>3591.55</v>
      </c>
      <c r="U2" s="28" t="s">
        <v>57</v>
      </c>
      <c r="V2" s="27">
        <f>329.5+43.82+48.11</f>
        <v>421.43</v>
      </c>
    </row>
    <row r="3" spans="1:22" ht="15.75">
      <c r="A3" s="47">
        <v>1</v>
      </c>
      <c r="B3" s="48" t="s">
        <v>3</v>
      </c>
      <c r="C3" s="49"/>
      <c r="D3" s="50"/>
      <c r="E3" s="51"/>
      <c r="F3" s="52"/>
      <c r="G3" s="52"/>
      <c r="H3" s="52"/>
      <c r="I3" s="52"/>
      <c r="J3" s="52">
        <v>877.49</v>
      </c>
      <c r="K3" s="52"/>
      <c r="L3" s="52"/>
      <c r="M3" s="52"/>
      <c r="N3" s="52"/>
      <c r="O3" s="19">
        <f>SUM(E3:N3)</f>
        <v>877.49</v>
      </c>
      <c r="P3" s="19">
        <f>O3-M3-J3</f>
        <v>0</v>
      </c>
      <c r="Q3" s="20">
        <f>P3*9%</f>
        <v>0</v>
      </c>
      <c r="R3" s="20"/>
      <c r="S3" s="20">
        <f>Q3+R3</f>
        <v>0</v>
      </c>
      <c r="T3" s="19">
        <f>P3+S3</f>
        <v>0</v>
      </c>
      <c r="U3" s="21" t="s">
        <v>2</v>
      </c>
      <c r="V3" s="20">
        <f>+P3*12.93%</f>
        <v>0</v>
      </c>
    </row>
    <row r="4" spans="1:22" ht="16.5" thickBot="1">
      <c r="A4" s="53">
        <v>1</v>
      </c>
      <c r="B4" s="54" t="s">
        <v>56</v>
      </c>
      <c r="C4" s="59"/>
      <c r="D4" s="60"/>
      <c r="E4" s="61"/>
      <c r="F4" s="62"/>
      <c r="G4" s="62"/>
      <c r="H4" s="62"/>
      <c r="I4" s="62"/>
      <c r="J4" s="62"/>
      <c r="K4" s="62"/>
      <c r="L4" s="62"/>
      <c r="M4" s="62"/>
      <c r="N4" s="62"/>
      <c r="O4" s="19"/>
      <c r="P4" s="19"/>
      <c r="Q4" s="20"/>
      <c r="R4" s="20"/>
      <c r="S4" s="20"/>
      <c r="T4" s="19"/>
      <c r="U4" s="21"/>
      <c r="V4" s="20"/>
    </row>
    <row r="5" spans="1:22" ht="15.75">
      <c r="A5" s="47">
        <v>1</v>
      </c>
      <c r="B5" s="48" t="s">
        <v>51</v>
      </c>
      <c r="C5" s="49"/>
      <c r="D5" s="50"/>
      <c r="E5" s="51"/>
      <c r="F5" s="52"/>
      <c r="G5" s="52"/>
      <c r="H5" s="52"/>
      <c r="I5" s="52"/>
      <c r="J5" s="52"/>
      <c r="K5" s="52"/>
      <c r="L5" s="52"/>
      <c r="M5" s="52"/>
      <c r="N5" s="52"/>
      <c r="O5" s="19"/>
      <c r="P5" s="19"/>
      <c r="Q5" s="20"/>
      <c r="R5" s="20"/>
      <c r="S5" s="20"/>
      <c r="T5" s="19"/>
      <c r="U5" s="21"/>
      <c r="V5" s="20"/>
    </row>
    <row r="6" spans="1:22" ht="16.5" thickBot="1">
      <c r="A6" s="73">
        <v>2</v>
      </c>
      <c r="B6" s="74" t="s">
        <v>24</v>
      </c>
      <c r="C6" s="59"/>
      <c r="D6" s="60"/>
      <c r="E6" s="61"/>
      <c r="F6" s="62"/>
      <c r="G6" s="62"/>
      <c r="H6" s="62"/>
      <c r="I6" s="62"/>
      <c r="J6" s="62"/>
      <c r="K6" s="62"/>
      <c r="L6" s="62"/>
      <c r="M6" s="62"/>
      <c r="N6" s="62"/>
      <c r="O6" s="19"/>
      <c r="P6" s="19"/>
      <c r="Q6" s="20"/>
      <c r="R6" s="20"/>
      <c r="S6" s="20"/>
      <c r="T6" s="19"/>
      <c r="U6" s="21"/>
      <c r="V6" s="20"/>
    </row>
    <row r="7" spans="1:22" ht="15.75">
      <c r="A7" s="47">
        <v>1</v>
      </c>
      <c r="B7" s="48" t="s">
        <v>5</v>
      </c>
      <c r="C7" s="49">
        <v>53</v>
      </c>
      <c r="D7" s="50">
        <v>5</v>
      </c>
      <c r="E7" s="51">
        <v>1899</v>
      </c>
      <c r="F7" s="52">
        <f>75+100+100+100</f>
        <v>375</v>
      </c>
      <c r="G7" s="52">
        <v>300</v>
      </c>
      <c r="H7" s="52"/>
      <c r="I7" s="52">
        <v>18.55</v>
      </c>
      <c r="J7" s="52">
        <v>2171.88</v>
      </c>
      <c r="K7" s="52"/>
      <c r="L7" s="52"/>
      <c r="M7" s="52"/>
      <c r="N7" s="52"/>
      <c r="O7" s="19">
        <f>SUM(E7:N7)</f>
        <v>4764.43</v>
      </c>
      <c r="P7" s="19">
        <f>O7-M7-J7</f>
        <v>2592.5500000000002</v>
      </c>
      <c r="Q7" s="20">
        <f>P7*9%</f>
        <v>233.3295</v>
      </c>
      <c r="R7" s="20"/>
      <c r="S7" s="20">
        <f>Q7+R7</f>
        <v>233.3295</v>
      </c>
      <c r="T7" s="19">
        <f>P7+S7</f>
        <v>2825.8795</v>
      </c>
      <c r="U7" s="21" t="s">
        <v>0</v>
      </c>
      <c r="V7" s="20">
        <f>+P7*13.02%</f>
        <v>337.55000999999999</v>
      </c>
    </row>
    <row r="8" spans="1:22" ht="15.75">
      <c r="A8" s="22">
        <v>2</v>
      </c>
      <c r="B8" s="23" t="s">
        <v>34</v>
      </c>
      <c r="C8" s="17">
        <v>214</v>
      </c>
      <c r="D8" s="18">
        <v>5</v>
      </c>
      <c r="E8" s="19">
        <v>1666</v>
      </c>
      <c r="F8" s="20">
        <f>75+263.2+348.2+116.07</f>
        <v>802.47</v>
      </c>
      <c r="G8" s="20">
        <v>250</v>
      </c>
      <c r="H8" s="20"/>
      <c r="I8" s="20"/>
      <c r="J8" s="20">
        <v>2241.64</v>
      </c>
      <c r="K8" s="20"/>
      <c r="L8" s="20"/>
      <c r="M8" s="20">
        <f>92+80.5</f>
        <v>172.5</v>
      </c>
      <c r="N8" s="20">
        <v>233</v>
      </c>
      <c r="O8" s="19">
        <f t="shared" ref="O8:O10" si="5">SUM(E8:N8)</f>
        <v>5365.6100000000006</v>
      </c>
      <c r="P8" s="19">
        <f t="shared" ref="P8:P10" si="6">O8-M8-J8</f>
        <v>2951.4700000000007</v>
      </c>
      <c r="Q8" s="20">
        <f t="shared" ref="Q8:Q10" si="7">P8*9%</f>
        <v>265.63230000000004</v>
      </c>
      <c r="R8" s="20"/>
      <c r="S8" s="20">
        <f t="shared" ref="S8:S10" si="8">Q8+R8</f>
        <v>265.63230000000004</v>
      </c>
      <c r="T8" s="19">
        <f t="shared" ref="T8:T10" si="9">P8+S8</f>
        <v>3217.1023000000009</v>
      </c>
      <c r="U8" s="21" t="s">
        <v>18</v>
      </c>
      <c r="V8" s="20">
        <f>+P8*12.88%</f>
        <v>380.14933600000006</v>
      </c>
    </row>
    <row r="9" spans="1:22" ht="15.75">
      <c r="A9" s="22">
        <v>3</v>
      </c>
      <c r="B9" s="23" t="s">
        <v>7</v>
      </c>
      <c r="C9" s="17">
        <v>82</v>
      </c>
      <c r="D9" s="18">
        <v>5</v>
      </c>
      <c r="E9" s="19">
        <v>1727</v>
      </c>
      <c r="F9" s="20">
        <f>75+100+100+100</f>
        <v>375</v>
      </c>
      <c r="G9" s="20"/>
      <c r="H9" s="20"/>
      <c r="I9" s="20"/>
      <c r="J9" s="20">
        <v>2096.0700000000002</v>
      </c>
      <c r="K9" s="20"/>
      <c r="L9" s="20"/>
      <c r="M9" s="20"/>
      <c r="N9" s="20">
        <v>121</v>
      </c>
      <c r="O9" s="19">
        <f t="shared" si="5"/>
        <v>4319.07</v>
      </c>
      <c r="P9" s="19">
        <f t="shared" si="6"/>
        <v>2222.9999999999995</v>
      </c>
      <c r="Q9" s="20">
        <f t="shared" si="7"/>
        <v>200.06999999999996</v>
      </c>
      <c r="R9" s="20"/>
      <c r="S9" s="20">
        <f t="shared" si="8"/>
        <v>200.06999999999996</v>
      </c>
      <c r="T9" s="19">
        <f t="shared" si="9"/>
        <v>2423.0699999999997</v>
      </c>
      <c r="U9" s="21" t="s">
        <v>2</v>
      </c>
      <c r="V9" s="20">
        <f>+P9*12.93%</f>
        <v>287.43389999999994</v>
      </c>
    </row>
    <row r="10" spans="1:22" ht="16.5" thickBot="1">
      <c r="A10" s="53">
        <v>4</v>
      </c>
      <c r="B10" s="54" t="s">
        <v>8</v>
      </c>
      <c r="C10" s="55">
        <v>95</v>
      </c>
      <c r="D10" s="56">
        <v>5</v>
      </c>
      <c r="E10" s="57">
        <v>1951</v>
      </c>
      <c r="F10" s="58">
        <f>75+100+100</f>
        <v>275</v>
      </c>
      <c r="G10" s="58"/>
      <c r="H10" s="58"/>
      <c r="I10" s="58"/>
      <c r="J10" s="58">
        <v>2208.34</v>
      </c>
      <c r="K10" s="58"/>
      <c r="L10" s="58"/>
      <c r="M10" s="58"/>
      <c r="N10" s="58"/>
      <c r="O10" s="19">
        <f t="shared" si="5"/>
        <v>4434.34</v>
      </c>
      <c r="P10" s="19">
        <f t="shared" si="6"/>
        <v>2226</v>
      </c>
      <c r="Q10" s="20">
        <f t="shared" si="7"/>
        <v>200.34</v>
      </c>
      <c r="R10" s="20"/>
      <c r="S10" s="20">
        <f t="shared" si="8"/>
        <v>200.34</v>
      </c>
      <c r="T10" s="19">
        <f t="shared" si="9"/>
        <v>2426.34</v>
      </c>
      <c r="U10" s="21" t="s">
        <v>18</v>
      </c>
      <c r="V10" s="20">
        <f>+P10*12.88%</f>
        <v>286.7088</v>
      </c>
    </row>
    <row r="11" spans="1:22" ht="15.75">
      <c r="A11" s="47">
        <v>1</v>
      </c>
      <c r="B11" s="48" t="s">
        <v>35</v>
      </c>
      <c r="C11" s="49"/>
      <c r="D11" s="50"/>
      <c r="E11" s="51"/>
      <c r="F11" s="52"/>
      <c r="G11" s="52"/>
      <c r="H11" s="52"/>
      <c r="I11" s="52"/>
      <c r="J11" s="52"/>
      <c r="K11" s="52"/>
      <c r="L11" s="52"/>
      <c r="M11" s="52"/>
      <c r="N11" s="52"/>
      <c r="O11" s="19"/>
      <c r="P11" s="19"/>
      <c r="Q11" s="20"/>
      <c r="R11" s="20"/>
      <c r="S11" s="20"/>
      <c r="T11" s="19"/>
      <c r="U11" s="21"/>
      <c r="V11" s="20"/>
    </row>
    <row r="12" spans="1:22" ht="15.75">
      <c r="A12" s="47">
        <v>1</v>
      </c>
      <c r="B12" s="48" t="s">
        <v>48</v>
      </c>
      <c r="C12" s="49"/>
      <c r="D12" s="50"/>
      <c r="E12" s="51">
        <v>880</v>
      </c>
      <c r="F12" s="52">
        <f>92+100+100</f>
        <v>292</v>
      </c>
      <c r="G12" s="52"/>
      <c r="H12" s="52"/>
      <c r="I12" s="52"/>
      <c r="J12" s="52">
        <v>1815.94</v>
      </c>
      <c r="K12" s="52"/>
      <c r="L12" s="52"/>
      <c r="M12" s="52"/>
      <c r="N12" s="52">
        <v>786</v>
      </c>
      <c r="O12" s="19">
        <f t="shared" ref="O12:O13" si="10">SUM(E12:N12)</f>
        <v>3773.94</v>
      </c>
      <c r="P12" s="19">
        <f t="shared" ref="P12:P13" si="11">O12-M12-J12</f>
        <v>1958</v>
      </c>
      <c r="Q12" s="20">
        <f t="shared" ref="Q12:Q13" si="12">P12*9%</f>
        <v>176.22</v>
      </c>
      <c r="R12" s="20"/>
      <c r="S12" s="20">
        <f t="shared" ref="S12:S13" si="13">Q12+R12</f>
        <v>176.22</v>
      </c>
      <c r="T12" s="19">
        <f t="shared" ref="T12:T13" si="14">P12+S12</f>
        <v>2134.2199999999998</v>
      </c>
      <c r="U12" s="21" t="s">
        <v>2</v>
      </c>
      <c r="V12" s="20">
        <f>+P12*12.93%</f>
        <v>253.1694</v>
      </c>
    </row>
    <row r="13" spans="1:22" ht="16.5" thickBot="1">
      <c r="A13" s="53">
        <v>2</v>
      </c>
      <c r="B13" s="54" t="s">
        <v>49</v>
      </c>
      <c r="C13" s="55">
        <v>33</v>
      </c>
      <c r="D13" s="56">
        <v>5</v>
      </c>
      <c r="E13" s="57">
        <v>905</v>
      </c>
      <c r="F13" s="58">
        <f>96+96+30.17</f>
        <v>222.17000000000002</v>
      </c>
      <c r="G13" s="58"/>
      <c r="H13" s="58"/>
      <c r="I13" s="58"/>
      <c r="J13" s="58">
        <v>1815.94</v>
      </c>
      <c r="K13" s="58"/>
      <c r="L13" s="58"/>
      <c r="M13" s="58">
        <v>11.5</v>
      </c>
      <c r="N13" s="58">
        <v>761</v>
      </c>
      <c r="O13" s="19">
        <f t="shared" si="10"/>
        <v>3715.61</v>
      </c>
      <c r="P13" s="19">
        <f t="shared" si="11"/>
        <v>1888.17</v>
      </c>
      <c r="Q13" s="20">
        <f t="shared" si="12"/>
        <v>169.93530000000001</v>
      </c>
      <c r="R13" s="20"/>
      <c r="S13" s="20">
        <f t="shared" si="13"/>
        <v>169.93530000000001</v>
      </c>
      <c r="T13" s="19">
        <f t="shared" si="14"/>
        <v>2058.1053000000002</v>
      </c>
      <c r="U13" s="21" t="s">
        <v>2</v>
      </c>
      <c r="V13" s="20">
        <f>+P13*12.93%</f>
        <v>244.14038100000002</v>
      </c>
    </row>
    <row r="14" spans="1:22" ht="15.75">
      <c r="A14" s="89">
        <v>1</v>
      </c>
      <c r="B14" s="90" t="s">
        <v>38</v>
      </c>
      <c r="C14" s="49"/>
      <c r="D14" s="50"/>
      <c r="E14" s="51"/>
      <c r="F14" s="52"/>
      <c r="G14" s="52"/>
      <c r="H14" s="52"/>
      <c r="I14" s="52"/>
      <c r="J14" s="52"/>
      <c r="K14" s="52"/>
      <c r="L14" s="52"/>
      <c r="M14" s="52"/>
      <c r="N14" s="52"/>
      <c r="O14" s="19"/>
      <c r="P14" s="19"/>
      <c r="Q14" s="20"/>
      <c r="R14" s="20"/>
      <c r="S14" s="20"/>
      <c r="T14" s="19"/>
      <c r="U14" s="21"/>
      <c r="V14" s="20"/>
    </row>
    <row r="15" spans="1:22" ht="15.75">
      <c r="A15" s="63">
        <v>2</v>
      </c>
      <c r="B15" s="64" t="s">
        <v>26</v>
      </c>
      <c r="C15" s="49"/>
      <c r="D15" s="50"/>
      <c r="E15" s="51"/>
      <c r="F15" s="52"/>
      <c r="G15" s="52"/>
      <c r="H15" s="52"/>
      <c r="I15" s="52"/>
      <c r="J15" s="52"/>
      <c r="K15" s="52"/>
      <c r="L15" s="52"/>
      <c r="M15" s="52"/>
      <c r="N15" s="52"/>
      <c r="O15" s="19"/>
      <c r="P15" s="19"/>
      <c r="Q15" s="20"/>
      <c r="R15" s="20"/>
      <c r="S15" s="20"/>
      <c r="T15" s="19"/>
      <c r="U15" s="21"/>
      <c r="V15" s="20"/>
    </row>
    <row r="16" spans="1:22" ht="15.75">
      <c r="A16" s="63">
        <v>1</v>
      </c>
      <c r="B16" s="29" t="s">
        <v>58</v>
      </c>
      <c r="C16" s="49"/>
      <c r="D16" s="50"/>
      <c r="E16" s="51"/>
      <c r="F16" s="52"/>
      <c r="G16" s="52"/>
      <c r="H16" s="52"/>
      <c r="I16" s="52"/>
      <c r="J16" s="52"/>
      <c r="K16" s="52"/>
      <c r="L16" s="52"/>
      <c r="M16" s="52"/>
      <c r="N16" s="52"/>
      <c r="O16" s="19"/>
      <c r="P16" s="19"/>
      <c r="Q16" s="20"/>
      <c r="R16" s="20"/>
      <c r="S16" s="20"/>
      <c r="T16" s="19"/>
      <c r="U16" s="21"/>
      <c r="V16" s="20"/>
    </row>
    <row r="17" spans="1:22" ht="15.75">
      <c r="A17" s="47">
        <v>1</v>
      </c>
      <c r="B17" s="48" t="s">
        <v>32</v>
      </c>
      <c r="C17" s="49">
        <v>44</v>
      </c>
      <c r="D17" s="50">
        <v>5</v>
      </c>
      <c r="E17" s="51">
        <v>1899</v>
      </c>
      <c r="F17" s="52">
        <f>100+100</f>
        <v>200</v>
      </c>
      <c r="G17" s="52"/>
      <c r="H17" s="52"/>
      <c r="I17" s="52"/>
      <c r="J17" s="52">
        <v>2069.91</v>
      </c>
      <c r="K17" s="52"/>
      <c r="L17" s="52"/>
      <c r="M17" s="52"/>
      <c r="N17" s="52"/>
      <c r="O17" s="19">
        <f>SUM(E17:N17)</f>
        <v>4168.91</v>
      </c>
      <c r="P17" s="19">
        <f>O17-M17-J17</f>
        <v>2099</v>
      </c>
      <c r="Q17" s="20">
        <f>P17*9%</f>
        <v>188.91</v>
      </c>
      <c r="R17" s="20"/>
      <c r="S17" s="20">
        <f>Q17+R17</f>
        <v>188.91</v>
      </c>
      <c r="T17" s="19">
        <f>P17+S17</f>
        <v>2287.91</v>
      </c>
      <c r="U17" s="21" t="s">
        <v>19</v>
      </c>
      <c r="V17" s="20">
        <f>199.5+26.53+7.58</f>
        <v>233.61</v>
      </c>
    </row>
    <row r="18" spans="1:22" ht="16.5" thickBot="1">
      <c r="A18" s="53">
        <v>1</v>
      </c>
      <c r="B18" s="54" t="s">
        <v>52</v>
      </c>
      <c r="C18" s="55"/>
      <c r="D18" s="56">
        <v>5</v>
      </c>
      <c r="E18" s="57">
        <v>2121</v>
      </c>
      <c r="F18" s="58">
        <f>100+104</f>
        <v>204</v>
      </c>
      <c r="G18" s="58"/>
      <c r="H18" s="58"/>
      <c r="I18" s="58"/>
      <c r="J18" s="58">
        <v>2311.89</v>
      </c>
      <c r="K18" s="58"/>
      <c r="L18" s="58"/>
      <c r="M18" s="58"/>
      <c r="N18" s="58"/>
      <c r="O18" s="19">
        <f>SUM(E18:N18)</f>
        <v>4636.8899999999994</v>
      </c>
      <c r="P18" s="19">
        <f>O18-M18-J18</f>
        <v>2324.9999999999995</v>
      </c>
      <c r="Q18" s="20">
        <f>P18*9%</f>
        <v>209.24999999999994</v>
      </c>
      <c r="R18" s="20"/>
      <c r="S18" s="20">
        <f>Q18+R18</f>
        <v>209.24999999999994</v>
      </c>
      <c r="T18" s="19">
        <f>P18+S18</f>
        <v>2534.2499999999995</v>
      </c>
      <c r="U18" s="21" t="s">
        <v>19</v>
      </c>
      <c r="V18" s="20">
        <f>221.7+29.49+8.42</f>
        <v>259.61</v>
      </c>
    </row>
    <row r="19" spans="1:22">
      <c r="A19" s="47">
        <v>1</v>
      </c>
      <c r="B19" s="48" t="s">
        <v>47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2"/>
      <c r="P19" s="92"/>
      <c r="Q19" s="92"/>
      <c r="R19" s="92"/>
      <c r="S19" s="92"/>
      <c r="T19" s="92"/>
      <c r="U19" s="92"/>
      <c r="V19" s="92"/>
    </row>
    <row r="20" spans="1:22" ht="15.75">
      <c r="A20" s="22">
        <v>1</v>
      </c>
      <c r="B20" s="23" t="s">
        <v>27</v>
      </c>
      <c r="C20" s="17">
        <v>58</v>
      </c>
      <c r="D20" s="18">
        <v>5</v>
      </c>
      <c r="E20" s="19">
        <v>1899</v>
      </c>
      <c r="F20" s="20">
        <f>75+263.2+592.2+197.4+100+131.6</f>
        <v>1359.4</v>
      </c>
      <c r="G20" s="20"/>
      <c r="H20" s="20"/>
      <c r="I20" s="20"/>
      <c r="J20" s="20">
        <v>2151.66</v>
      </c>
      <c r="K20" s="20"/>
      <c r="L20" s="20"/>
      <c r="M20" s="20"/>
      <c r="N20" s="20"/>
      <c r="O20" s="19">
        <f>SUM(E20:N20)</f>
        <v>5410.0599999999995</v>
      </c>
      <c r="P20" s="19">
        <f>O20-M20-J20</f>
        <v>3258.3999999999996</v>
      </c>
      <c r="Q20" s="20">
        <f>P20*9%</f>
        <v>293.25599999999997</v>
      </c>
      <c r="R20" s="20"/>
      <c r="S20" s="20">
        <f>Q20+R20</f>
        <v>293.25599999999997</v>
      </c>
      <c r="T20" s="19">
        <f>P20+S20</f>
        <v>3551.6559999999995</v>
      </c>
      <c r="U20" s="21" t="s">
        <v>18</v>
      </c>
      <c r="V20" s="20">
        <f>+P20*12.88%</f>
        <v>419.68191999999993</v>
      </c>
    </row>
    <row r="21" spans="1:22" ht="15.75">
      <c r="A21" s="22">
        <v>1</v>
      </c>
      <c r="B21" s="23" t="s">
        <v>25</v>
      </c>
      <c r="C21" s="17">
        <v>49</v>
      </c>
      <c r="D21" s="18">
        <v>5</v>
      </c>
      <c r="E21" s="19">
        <v>1666</v>
      </c>
      <c r="F21" s="20">
        <f>75+100+100</f>
        <v>275</v>
      </c>
      <c r="G21" s="20"/>
      <c r="H21" s="20"/>
      <c r="I21" s="20"/>
      <c r="J21" s="20">
        <v>1897.69</v>
      </c>
      <c r="K21" s="20"/>
      <c r="L21" s="20"/>
      <c r="M21" s="20">
        <v>11.5</v>
      </c>
      <c r="N21" s="20"/>
      <c r="O21" s="19">
        <f>SUM(E21:N21)</f>
        <v>3850.19</v>
      </c>
      <c r="P21" s="19">
        <f>O21-M21-J21</f>
        <v>1941</v>
      </c>
      <c r="Q21" s="20">
        <f>P21*9%</f>
        <v>174.69</v>
      </c>
      <c r="R21" s="20"/>
      <c r="S21" s="20">
        <f>Q21+R21</f>
        <v>174.69</v>
      </c>
      <c r="T21" s="19">
        <f>P21+S21</f>
        <v>2115.69</v>
      </c>
      <c r="U21" s="21" t="s">
        <v>2</v>
      </c>
      <c r="V21" s="20">
        <f>+P21*12.93%</f>
        <v>250.97129999999999</v>
      </c>
    </row>
    <row r="22" spans="1:22">
      <c r="A22" s="92"/>
      <c r="B22" s="23" t="s">
        <v>44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</row>
    <row r="23" spans="1:22">
      <c r="A23" s="92"/>
      <c r="B23" s="23" t="s">
        <v>11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</row>
    <row r="24" spans="1:22" ht="15.75">
      <c r="A24" s="22">
        <v>2</v>
      </c>
      <c r="B24" s="23" t="s">
        <v>45</v>
      </c>
      <c r="C24" s="17">
        <v>7</v>
      </c>
      <c r="D24" s="18">
        <v>5</v>
      </c>
      <c r="E24" s="19">
        <v>1666</v>
      </c>
      <c r="F24" s="20">
        <f>75+100+100</f>
        <v>275</v>
      </c>
      <c r="G24" s="20"/>
      <c r="H24" s="20"/>
      <c r="I24" s="20"/>
      <c r="J24" s="20">
        <v>1897.69</v>
      </c>
      <c r="K24" s="20"/>
      <c r="L24" s="20"/>
      <c r="M24" s="20"/>
      <c r="N24" s="20"/>
      <c r="O24" s="19">
        <f>SUM(E24:N24)</f>
        <v>3838.69</v>
      </c>
      <c r="P24" s="19">
        <f>O24-M24-J24</f>
        <v>1941</v>
      </c>
      <c r="Q24" s="20">
        <f>P24*9%</f>
        <v>174.69</v>
      </c>
      <c r="R24" s="20"/>
      <c r="S24" s="20">
        <f>Q24+R24</f>
        <v>174.69</v>
      </c>
      <c r="T24" s="19">
        <f>P24+S24</f>
        <v>2115.69</v>
      </c>
      <c r="U24" s="21" t="s">
        <v>18</v>
      </c>
      <c r="V24" s="20">
        <f>+P24*12.88%</f>
        <v>250.0008</v>
      </c>
    </row>
    <row r="25" spans="1:22" ht="15.75">
      <c r="A25" s="22">
        <v>3</v>
      </c>
      <c r="B25" s="23" t="s">
        <v>46</v>
      </c>
      <c r="C25" s="17">
        <v>117</v>
      </c>
      <c r="D25" s="18">
        <v>5</v>
      </c>
      <c r="E25" s="19">
        <v>1848</v>
      </c>
      <c r="F25" s="20">
        <f>75+100+96+64.1</f>
        <v>335.1</v>
      </c>
      <c r="G25" s="20"/>
      <c r="H25" s="20"/>
      <c r="I25" s="20"/>
      <c r="J25" s="20">
        <v>2189.23</v>
      </c>
      <c r="K25" s="20"/>
      <c r="L25" s="20"/>
      <c r="M25" s="20">
        <v>11.5</v>
      </c>
      <c r="N25" s="20"/>
      <c r="O25" s="19">
        <f>SUM(E25:N25)</f>
        <v>4383.83</v>
      </c>
      <c r="P25" s="19">
        <f>O25-M25-J25</f>
        <v>2183.1</v>
      </c>
      <c r="Q25" s="20">
        <f>P25*9%</f>
        <v>196.47899999999998</v>
      </c>
      <c r="R25" s="20"/>
      <c r="S25" s="20">
        <f>Q25+R25</f>
        <v>196.47899999999998</v>
      </c>
      <c r="T25" s="19">
        <f>P25+S25</f>
        <v>2379.5789999999997</v>
      </c>
      <c r="U25" s="21" t="s">
        <v>18</v>
      </c>
      <c r="V25" s="20">
        <f>+P25*12.88%</f>
        <v>281.18327999999997</v>
      </c>
    </row>
    <row r="26" spans="1:22">
      <c r="A26" s="47">
        <v>5</v>
      </c>
      <c r="B26" s="48" t="s">
        <v>41</v>
      </c>
    </row>
    <row r="27" spans="1:22">
      <c r="A27" s="98">
        <v>5</v>
      </c>
      <c r="B27" s="23" t="s">
        <v>13</v>
      </c>
    </row>
    <row r="28" spans="1:22" ht="15.75">
      <c r="A28" s="98">
        <v>2</v>
      </c>
      <c r="B28" s="23" t="s">
        <v>40</v>
      </c>
      <c r="C28" s="91"/>
      <c r="D28" s="93">
        <v>5</v>
      </c>
      <c r="E28" s="94">
        <v>1848</v>
      </c>
      <c r="F28" s="95">
        <f>75+100+100</f>
        <v>275</v>
      </c>
      <c r="G28" s="95"/>
      <c r="H28" s="95"/>
      <c r="I28" s="95"/>
      <c r="J28" s="95">
        <v>2096.0700000000002</v>
      </c>
      <c r="K28" s="95"/>
      <c r="L28" s="95"/>
      <c r="M28" s="95"/>
      <c r="N28" s="95"/>
      <c r="O28" s="94">
        <f>SUM(E28:N28)</f>
        <v>4219.07</v>
      </c>
      <c r="P28" s="94">
        <f>O28-M28-J28</f>
        <v>2122.9999999999995</v>
      </c>
      <c r="Q28" s="95">
        <f>P28*9%</f>
        <v>191.06999999999996</v>
      </c>
      <c r="R28" s="95"/>
      <c r="S28" s="95">
        <f>Q28+R28</f>
        <v>191.06999999999996</v>
      </c>
      <c r="T28" s="94">
        <f>P28+S28</f>
        <v>2314.0699999999997</v>
      </c>
      <c r="U28" s="96" t="s">
        <v>0</v>
      </c>
      <c r="V28" s="95">
        <f>+P28*13.02%</f>
        <v>276.41459999999989</v>
      </c>
    </row>
    <row r="29" spans="1:22">
      <c r="A29" s="22">
        <v>7</v>
      </c>
      <c r="B29" s="23" t="s">
        <v>30</v>
      </c>
    </row>
    <row r="30" spans="1:22" ht="15.75">
      <c r="A30" s="22">
        <v>3</v>
      </c>
      <c r="B30" s="23" t="s">
        <v>14</v>
      </c>
      <c r="C30" s="91">
        <v>88</v>
      </c>
      <c r="D30" s="93">
        <v>5</v>
      </c>
      <c r="E30" s="94">
        <v>1951</v>
      </c>
      <c r="F30" s="95">
        <f>75+96+88</f>
        <v>259</v>
      </c>
      <c r="G30" s="95"/>
      <c r="H30" s="95"/>
      <c r="I30" s="95"/>
      <c r="J30" s="95">
        <v>2208.34</v>
      </c>
      <c r="K30" s="95"/>
      <c r="L30" s="95"/>
      <c r="M30" s="95"/>
      <c r="N30" s="95"/>
      <c r="O30" s="94">
        <f>SUM(E30:N30)</f>
        <v>4418.34</v>
      </c>
      <c r="P30" s="94">
        <f>O30-M30-J30</f>
        <v>2210</v>
      </c>
      <c r="Q30" s="95">
        <f>P30*9%</f>
        <v>198.9</v>
      </c>
      <c r="R30" s="95"/>
      <c r="S30" s="95">
        <f>Q30+R30</f>
        <v>198.9</v>
      </c>
      <c r="T30" s="94">
        <f>P30+S30</f>
        <v>2408.9</v>
      </c>
      <c r="U30" s="96" t="s">
        <v>0</v>
      </c>
      <c r="V30" s="95">
        <f>+P30*13.02%</f>
        <v>287.74199999999996</v>
      </c>
    </row>
    <row r="31" spans="1:22">
      <c r="A31" s="22">
        <v>8</v>
      </c>
      <c r="B31" s="23" t="s">
        <v>53</v>
      </c>
    </row>
    <row r="32" spans="1:22">
      <c r="A32" s="22">
        <v>6</v>
      </c>
      <c r="B32" s="23" t="s">
        <v>15</v>
      </c>
    </row>
    <row r="33" spans="1:22">
      <c r="A33" s="22">
        <v>9</v>
      </c>
      <c r="B33" s="23" t="s">
        <v>54</v>
      </c>
    </row>
    <row r="34" spans="1:22" ht="15.75">
      <c r="A34" s="22">
        <v>4</v>
      </c>
      <c r="B34" s="23" t="s">
        <v>55</v>
      </c>
      <c r="C34" s="91">
        <v>111</v>
      </c>
      <c r="D34" s="93">
        <v>5</v>
      </c>
      <c r="E34" s="94">
        <v>1899</v>
      </c>
      <c r="F34" s="95">
        <f>75+100+263.2+50</f>
        <v>488.2</v>
      </c>
      <c r="G34" s="95"/>
      <c r="H34" s="95"/>
      <c r="I34" s="95"/>
      <c r="J34" s="95">
        <v>2151.66</v>
      </c>
      <c r="K34" s="95"/>
      <c r="L34" s="95"/>
      <c r="M34" s="95"/>
      <c r="N34" s="95"/>
      <c r="O34" s="94">
        <f>SUM(E34:N34)</f>
        <v>4538.8599999999997</v>
      </c>
      <c r="P34" s="94">
        <f>O34-M34-J34</f>
        <v>2387.1999999999998</v>
      </c>
      <c r="Q34" s="95">
        <f>P34*9%</f>
        <v>214.84799999999998</v>
      </c>
      <c r="R34" s="95"/>
      <c r="S34" s="95">
        <f>Q34+R34</f>
        <v>214.84799999999998</v>
      </c>
      <c r="T34" s="94">
        <f>P34+S34</f>
        <v>2602.0479999999998</v>
      </c>
      <c r="U34" s="96" t="s">
        <v>18</v>
      </c>
      <c r="V34" s="95">
        <f>+P34*12.88%</f>
        <v>307.47135999999995</v>
      </c>
    </row>
  </sheetData>
  <sortState ref="A17:V32">
    <sortCondition ref="B17"/>
  </sortState>
  <pageMargins left="0.11811023622047245" right="0.11811023622047245" top="0.35433070866141736" bottom="0.15748031496062992" header="0.31496062992125984" footer="0.31496062992125984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75"/>
  <sheetViews>
    <sheetView tabSelected="1" workbookViewId="0">
      <pane ySplit="9" topLeftCell="A67" activePane="bottomLeft" state="frozen"/>
      <selection pane="bottomLeft" activeCell="M76" sqref="M76"/>
    </sheetView>
  </sheetViews>
  <sheetFormatPr baseColWidth="10" defaultRowHeight="15"/>
  <cols>
    <col min="1" max="1" width="4.28515625" style="9" customWidth="1"/>
    <col min="2" max="2" width="24" style="9" customWidth="1"/>
    <col min="3" max="12" width="11.42578125" style="9"/>
    <col min="13" max="13" width="11.7109375" style="9" bestFit="1" customWidth="1"/>
    <col min="14" max="16384" width="11.42578125" style="9"/>
  </cols>
  <sheetData>
    <row r="1" spans="1:17" s="104" customFormat="1" ht="13.5"/>
    <row r="2" spans="1:17" s="104" customFormat="1" ht="13.5"/>
    <row r="3" spans="1:17" s="104" customFormat="1" ht="13.5"/>
    <row r="4" spans="1:17" s="104" customFormat="1" ht="16.5">
      <c r="A4" s="124" t="s">
        <v>60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17" s="104" customFormat="1" ht="16.5">
      <c r="A5" s="124" t="s">
        <v>81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1:17" s="104" customFormat="1" ht="13.5"/>
    <row r="7" spans="1:17" s="104" customFormat="1" ht="13.5"/>
    <row r="8" spans="1:17" s="104" customFormat="1" ht="13.5">
      <c r="A8" s="125" t="s">
        <v>61</v>
      </c>
      <c r="B8" s="125"/>
      <c r="C8" s="125" t="s">
        <v>62</v>
      </c>
      <c r="D8" s="125"/>
      <c r="E8" s="125"/>
      <c r="F8" s="125"/>
      <c r="G8" s="125"/>
      <c r="H8" s="125"/>
      <c r="I8" s="125"/>
      <c r="J8" s="125"/>
      <c r="K8" s="125"/>
      <c r="L8" s="125"/>
      <c r="M8" s="125" t="s">
        <v>63</v>
      </c>
      <c r="N8" s="125" t="s">
        <v>64</v>
      </c>
      <c r="O8" s="125" t="s">
        <v>65</v>
      </c>
      <c r="P8" s="125"/>
      <c r="Q8" s="125"/>
    </row>
    <row r="9" spans="1:17" s="104" customFormat="1" ht="51">
      <c r="A9" s="125"/>
      <c r="B9" s="125"/>
      <c r="C9" s="105" t="s">
        <v>66</v>
      </c>
      <c r="D9" s="105" t="s">
        <v>67</v>
      </c>
      <c r="E9" s="105" t="s">
        <v>68</v>
      </c>
      <c r="F9" s="105" t="s">
        <v>69</v>
      </c>
      <c r="G9" s="105" t="s">
        <v>70</v>
      </c>
      <c r="H9" s="105" t="s">
        <v>71</v>
      </c>
      <c r="I9" s="105" t="s">
        <v>72</v>
      </c>
      <c r="J9" s="105" t="s">
        <v>73</v>
      </c>
      <c r="K9" s="105" t="s">
        <v>74</v>
      </c>
      <c r="L9" s="105" t="s">
        <v>75</v>
      </c>
      <c r="M9" s="125"/>
      <c r="N9" s="125"/>
      <c r="O9" s="105" t="s">
        <v>76</v>
      </c>
      <c r="P9" s="105" t="s">
        <v>77</v>
      </c>
      <c r="Q9" s="105" t="s">
        <v>78</v>
      </c>
    </row>
    <row r="10" spans="1:17" s="104" customFormat="1" ht="3" customHeight="1"/>
    <row r="11" spans="1:17" s="104" customFormat="1" ht="15" customHeight="1">
      <c r="A11" s="123" t="s">
        <v>79</v>
      </c>
      <c r="B11" s="123"/>
    </row>
    <row r="12" spans="1:17" s="104" customFormat="1" ht="15" customHeight="1">
      <c r="A12" s="118" t="s">
        <v>80</v>
      </c>
      <c r="B12" s="118"/>
    </row>
    <row r="13" spans="1:17" ht="15" customHeight="1">
      <c r="A13" s="100">
        <v>1</v>
      </c>
      <c r="B13" s="101" t="s">
        <v>33</v>
      </c>
      <c r="C13" s="103">
        <f>+'ENERO-15'!E1+'FEBRERO-15'!E1+'MARZO-15'!E1+'ABRIL-15'!E1+'MAYO-15'!E1+'JUNIO-15'!E1+'JULIO-15'!E1+'AGOSTO-15'!E1+'SETIEMBRE-15'!E1+'OCTUBRE-15'!E1+'NOVIEMBRE-15'!E1+'DICIEMBRE-15'!E1</f>
        <v>22410</v>
      </c>
      <c r="D13" s="103">
        <f>+'ENERO-15'!F1+'FEBRERO-15'!F1+'MARZO-15'!F1+'ABRIL-15'!F1+'MAYO-15'!F1+'JUNIO-15'!F1+'JULIO-15'!F1+'AGOSTO-15'!F1+'SETIEMBRE-15'!F1+'OCTUBRE-15'!F1+'NOVIEMBRE-15'!F1+'DICIEMBRE-15'!F1</f>
        <v>520</v>
      </c>
      <c r="E13" s="103">
        <f>+'ENERO-15'!G1+'FEBRERO-15'!G1+'MARZO-15'!G1+'ABRIL-15'!G1+'MAYO-15'!G1+'JUNIO-15'!G1+'JULIO-15'!G1+'AGOSTO-15'!G1+'SETIEMBRE-15'!G1+'OCTUBRE-15'!G1+'NOVIEMBRE-15'!G1+'DICIEMBRE-15'!G1</f>
        <v>0</v>
      </c>
      <c r="F13" s="103">
        <f>+'ENERO-15'!H1+'FEBRERO-15'!H1+'MARZO-15'!H1+'ABRIL-15'!H1+'MAYO-15'!H1+'JUNIO-15'!H1+'JULIO-15'!H1+'AGOSTO-15'!H1+'SETIEMBRE-15'!H1+'OCTUBRE-15'!H1+'NOVIEMBRE-15'!H1+'DICIEMBRE-15'!H1</f>
        <v>0</v>
      </c>
      <c r="G13" s="103">
        <f>+'ENERO-15'!I1+'FEBRERO-15'!I1+'MARZO-15'!I1+'ABRIL-15'!I1+'MAYO-15'!I1+'JUNIO-15'!I1+'JULIO-15'!I1+'AGOSTO-15'!I1+'SETIEMBRE-15'!I1+'OCTUBRE-15'!I1+'NOVIEMBRE-15'!I1+'DICIEMBRE-15'!I1</f>
        <v>0</v>
      </c>
      <c r="H13" s="103">
        <f>+'ENERO-15'!J1+'FEBRERO-15'!J1+'MARZO-15'!J1+'ABRIL-15'!J1+'MAYO-15'!J1+'JUNIO-15'!J1+'JULIO-15'!J1+'AGOSTO-15'!J1+'SETIEMBRE-15'!J1+'OCTUBRE-15'!J1+'NOVIEMBRE-15'!J1+'DICIEMBRE-15'!J1</f>
        <v>3517.41</v>
      </c>
      <c r="I13" s="103">
        <f>+'ENERO-15'!K1+'FEBRERO-15'!K1+'MARZO-15'!K1+'ABRIL-15'!K1+'MAYO-15'!K1+'JUNIO-15'!K1+'JULIO-15'!K1+'AGOSTO-15'!K1+'SETIEMBRE-15'!K1+'OCTUBRE-15'!K1+'NOVIEMBRE-15'!K1+'DICIEMBRE-15'!K1</f>
        <v>3295</v>
      </c>
      <c r="J13" s="103">
        <f>+'ENERO-15'!L1+'FEBRERO-15'!L1+'MARZO-15'!L1+'ABRIL-15'!L1+'MAYO-15'!L1+'JUNIO-15'!L1+'JULIO-15'!L1+'AGOSTO-15'!L1+'SETIEMBRE-15'!L1+'OCTUBRE-15'!L1+'NOVIEMBRE-15'!L1+'DICIEMBRE-15'!L1</f>
        <v>0</v>
      </c>
      <c r="K13" s="103">
        <f>+'ENERO-15'!M1+'FEBRERO-15'!M1+'MARZO-15'!M1+'ABRIL-15'!M1+'MAYO-15'!M1+'JUNIO-15'!M1+'JULIO-15'!M1+'AGOSTO-15'!M1+'SETIEMBRE-15'!M1+'OCTUBRE-15'!M1+'NOVIEMBRE-15'!M1+'DICIEMBRE-15'!M1</f>
        <v>0</v>
      </c>
      <c r="L13" s="103">
        <f>+'ENERO-15'!N1+'FEBRERO-15'!N1+'MARZO-15'!N1+'ABRIL-15'!N1+'MAYO-15'!N1+'JUNIO-15'!N1+'JULIO-15'!N1+'AGOSTO-15'!N1+'SETIEMBRE-15'!N1+'OCTUBRE-15'!N1+'NOVIEMBRE-15'!N1+'DICIEMBRE-15'!N1</f>
        <v>10540</v>
      </c>
      <c r="M13" s="103">
        <f>+'ENERO-15'!O1+'FEBRERO-15'!O1+'MARZO-15'!O1+'ABRIL-15'!O1+'MAYO-15'!O1+'JUNIO-15'!O1+'JULIO-15'!O1+'AGOSTO-15'!O1+'SETIEMBRE-15'!O1+'OCTUBRE-15'!O1+'NOVIEMBRE-15'!O1+'DICIEMBRE-15'!O1</f>
        <v>40282.410000000003</v>
      </c>
      <c r="N13" s="103">
        <f>+'ENERO-15'!P1+'FEBRERO-15'!P1+'MARZO-15'!P1+'ABRIL-15'!P1+'MAYO-15'!P1+'JUNIO-15'!P1+'JULIO-15'!P1+'AGOSTO-15'!P1+'SETIEMBRE-15'!P1+'OCTUBRE-15'!P1+'NOVIEMBRE-15'!P1+'DICIEMBRE-15'!P1</f>
        <v>36765</v>
      </c>
      <c r="O13" s="103">
        <f>+'ENERO-15'!Q1+'FEBRERO-15'!Q1+'MARZO-15'!Q1+'ABRIL-15'!Q1+'MAYO-15'!Q1+'JUNIO-15'!Q1+'JULIO-15'!Q1+'AGOSTO-15'!Q1+'SETIEMBRE-15'!Q1+'OCTUBRE-15'!Q1+'NOVIEMBRE-15'!Q1+'DICIEMBRE-15'!Q1</f>
        <v>3308.8500000000008</v>
      </c>
      <c r="P13" s="103">
        <f>+'ENERO-15'!R1+'FEBRERO-15'!R1+'MARZO-15'!R1+'ABRIL-15'!R1+'MAYO-15'!R1+'JUNIO-15'!R1+'JULIO-15'!R1+'AGOSTO-15'!R1+'SETIEMBRE-15'!R1+'OCTUBRE-15'!R1+'NOVIEMBRE-15'!R1+'DICIEMBRE-15'!R1</f>
        <v>0</v>
      </c>
      <c r="Q13" s="103">
        <f>+'ENERO-15'!S1+'FEBRERO-15'!S1+'MARZO-15'!S1+'ABRIL-15'!S1+'MAYO-15'!S1+'JUNIO-15'!S1+'JULIO-15'!S1+'AGOSTO-15'!S1+'SETIEMBRE-15'!S1+'OCTUBRE-15'!S1+'NOVIEMBRE-15'!S1+'DICIEMBRE-15'!S1</f>
        <v>3308.8500000000008</v>
      </c>
    </row>
    <row r="14" spans="1:17" ht="15" customHeight="1">
      <c r="A14" s="100">
        <v>2</v>
      </c>
      <c r="B14" s="101" t="s">
        <v>56</v>
      </c>
      <c r="C14" s="103">
        <f>+'ENERO-15'!E2+'FEBRERO-15'!E2+'MARZO-15'!E2+'ABRIL-15'!E2+'MAYO-15'!E2+'JUNIO-15'!E2+'JULIO-15'!E2+'AGOSTO-15'!E2+'SETIEMBRE-15'!E2+'OCTUBRE-15'!E2+'NOVIEMBRE-15'!E2+'DICIEMBRE-15'!E2</f>
        <v>5840</v>
      </c>
      <c r="D14" s="103">
        <f>+'ENERO-15'!F2+'FEBRERO-15'!F2+'MARZO-15'!F2+'ABRIL-15'!F2+'MAYO-15'!F2+'JUNIO-15'!F2+'JULIO-15'!F2+'AGOSTO-15'!F2+'SETIEMBRE-15'!F2+'OCTUBRE-15'!F2+'NOVIEMBRE-15'!F2+'DICIEMBRE-15'!F2</f>
        <v>150</v>
      </c>
      <c r="E14" s="103">
        <f>+'ENERO-15'!G2+'FEBRERO-15'!G2+'MARZO-15'!G2+'ABRIL-15'!G2+'MAYO-15'!G2+'JUNIO-15'!G2+'JULIO-15'!G2+'AGOSTO-15'!G2+'SETIEMBRE-15'!G2+'OCTUBRE-15'!G2+'NOVIEMBRE-15'!G2+'DICIEMBRE-15'!G2</f>
        <v>600</v>
      </c>
      <c r="F14" s="103">
        <f>+'ENERO-15'!H2+'FEBRERO-15'!H2+'MARZO-15'!H2+'ABRIL-15'!H2+'MAYO-15'!H2+'JUNIO-15'!H2+'JULIO-15'!H2+'AGOSTO-15'!H2+'SETIEMBRE-15'!H2+'OCTUBRE-15'!H2+'NOVIEMBRE-15'!H2+'DICIEMBRE-15'!H2</f>
        <v>0</v>
      </c>
      <c r="G14" s="103">
        <f>+'ENERO-15'!I2+'FEBRERO-15'!I2+'MARZO-15'!I2+'ABRIL-15'!I2+'MAYO-15'!I2+'JUNIO-15'!I2+'JULIO-15'!I2+'AGOSTO-15'!I2+'SETIEMBRE-15'!I2+'OCTUBRE-15'!I2+'NOVIEMBRE-15'!I2+'DICIEMBRE-15'!I2</f>
        <v>0</v>
      </c>
      <c r="H14" s="103">
        <f>+'ENERO-15'!J2+'FEBRERO-15'!J2+'MARZO-15'!J2+'ABRIL-15'!J2+'MAYO-15'!J2+'JUNIO-15'!J2+'JULIO-15'!J2+'AGOSTO-15'!J2+'SETIEMBRE-15'!J2+'OCTUBRE-15'!J2+'NOVIEMBRE-15'!J2+'DICIEMBRE-15'!J2</f>
        <v>3264.55</v>
      </c>
      <c r="I14" s="103">
        <f>+'ENERO-15'!K2+'FEBRERO-15'!K2+'MARZO-15'!K2+'ABRIL-15'!K2+'MAYO-15'!K2+'JUNIO-15'!K2+'JULIO-15'!K2+'AGOSTO-15'!K2+'SETIEMBRE-15'!K2+'OCTUBRE-15'!K2+'NOVIEMBRE-15'!K2+'DICIEMBRE-15'!K2</f>
        <v>2920</v>
      </c>
      <c r="J14" s="103">
        <f>+'ENERO-15'!L2+'FEBRERO-15'!L2+'MARZO-15'!L2+'ABRIL-15'!L2+'MAYO-15'!L2+'JUNIO-15'!L2+'JULIO-15'!L2+'AGOSTO-15'!L2+'SETIEMBRE-15'!L2+'OCTUBRE-15'!L2+'NOVIEMBRE-15'!L2+'DICIEMBRE-15'!L2</f>
        <v>0</v>
      </c>
      <c r="K14" s="103">
        <f>+'ENERO-15'!M2+'FEBRERO-15'!M2+'MARZO-15'!M2+'ABRIL-15'!M2+'MAYO-15'!M2+'JUNIO-15'!M2+'JULIO-15'!M2+'AGOSTO-15'!M2+'SETIEMBRE-15'!M2+'OCTUBRE-15'!M2+'NOVIEMBRE-15'!M2+'DICIEMBRE-15'!M2</f>
        <v>0</v>
      </c>
      <c r="L14" s="103">
        <f>+'ENERO-15'!N2+'FEBRERO-15'!N2+'MARZO-15'!N2+'ABRIL-15'!N2+'MAYO-15'!N2+'JUNIO-15'!N2+'JULIO-15'!N2+'AGOSTO-15'!N2+'SETIEMBRE-15'!N2+'OCTUBRE-15'!N2+'NOVIEMBRE-15'!N2+'DICIEMBRE-15'!N2</f>
        <v>0</v>
      </c>
      <c r="M14" s="103">
        <f>+'ENERO-15'!O2+'FEBRERO-15'!O2+'MARZO-15'!O2+'ABRIL-15'!O2+'MAYO-15'!O2+'JUNIO-15'!O2+'JULIO-15'!O2+'AGOSTO-15'!O2+'SETIEMBRE-15'!O2+'OCTUBRE-15'!O2+'NOVIEMBRE-15'!O2+'DICIEMBRE-15'!O2</f>
        <v>12774.55</v>
      </c>
      <c r="N14" s="103">
        <f>+'ENERO-15'!P2+'FEBRERO-15'!P2+'MARZO-15'!P2+'ABRIL-15'!P2+'MAYO-15'!P2+'JUNIO-15'!P2+'JULIO-15'!P2+'AGOSTO-15'!P2+'SETIEMBRE-15'!P2+'OCTUBRE-15'!P2+'NOVIEMBRE-15'!P2+'DICIEMBRE-15'!P2</f>
        <v>9510</v>
      </c>
      <c r="O14" s="103">
        <f>+'ENERO-15'!Q2+'FEBRERO-15'!Q2+'MARZO-15'!Q2+'ABRIL-15'!Q2+'MAYO-15'!Q2+'JUNIO-15'!Q2+'JULIO-15'!Q2+'AGOSTO-15'!Q2+'SETIEMBRE-15'!Q2+'OCTUBRE-15'!Q2+'NOVIEMBRE-15'!Q2+'DICIEMBRE-15'!Q2</f>
        <v>855.90000000000009</v>
      </c>
      <c r="P14" s="103">
        <f>+'ENERO-15'!R2+'FEBRERO-15'!R2+'MARZO-15'!R2+'ABRIL-15'!R2+'MAYO-15'!R2+'JUNIO-15'!R2+'JULIO-15'!R2+'AGOSTO-15'!R2+'SETIEMBRE-15'!R2+'OCTUBRE-15'!R2+'NOVIEMBRE-15'!R2+'DICIEMBRE-15'!R2</f>
        <v>0</v>
      </c>
      <c r="Q14" s="103">
        <f>+'ENERO-15'!S2+'FEBRERO-15'!S2+'MARZO-15'!S2+'ABRIL-15'!S2+'MAYO-15'!S2+'JUNIO-15'!S2+'JULIO-15'!S2+'AGOSTO-15'!S2+'SETIEMBRE-15'!S2+'OCTUBRE-15'!S2+'NOVIEMBRE-15'!S2+'DICIEMBRE-15'!S2</f>
        <v>855.90000000000009</v>
      </c>
    </row>
    <row r="15" spans="1:17" s="112" customFormat="1" ht="15" customHeight="1" thickBot="1">
      <c r="A15" s="119" t="s">
        <v>82</v>
      </c>
      <c r="B15" s="120"/>
      <c r="C15" s="111">
        <f>SUM(C13:C14)</f>
        <v>28250</v>
      </c>
      <c r="D15" s="111">
        <f t="shared" ref="D15:Q15" si="0">SUM(D13:D14)</f>
        <v>670</v>
      </c>
      <c r="E15" s="111">
        <f t="shared" si="0"/>
        <v>600</v>
      </c>
      <c r="F15" s="111">
        <f t="shared" si="0"/>
        <v>0</v>
      </c>
      <c r="G15" s="111">
        <f t="shared" si="0"/>
        <v>0</v>
      </c>
      <c r="H15" s="111">
        <f t="shared" si="0"/>
        <v>6781.96</v>
      </c>
      <c r="I15" s="111">
        <f t="shared" si="0"/>
        <v>6215</v>
      </c>
      <c r="J15" s="111">
        <f t="shared" si="0"/>
        <v>0</v>
      </c>
      <c r="K15" s="111">
        <f t="shared" si="0"/>
        <v>0</v>
      </c>
      <c r="L15" s="111">
        <f t="shared" si="0"/>
        <v>10540</v>
      </c>
      <c r="M15" s="111">
        <f t="shared" si="0"/>
        <v>53056.960000000006</v>
      </c>
      <c r="N15" s="111">
        <f t="shared" si="0"/>
        <v>46275</v>
      </c>
      <c r="O15" s="111">
        <f t="shared" si="0"/>
        <v>4164.7500000000009</v>
      </c>
      <c r="P15" s="111">
        <f t="shared" si="0"/>
        <v>0</v>
      </c>
      <c r="Q15" s="111">
        <f t="shared" si="0"/>
        <v>4164.7500000000009</v>
      </c>
    </row>
    <row r="16" spans="1:17" s="106" customFormat="1" ht="15" customHeight="1" thickTop="1">
      <c r="A16" s="107"/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</row>
    <row r="17" spans="1:17" s="106" customFormat="1" ht="15" customHeight="1">
      <c r="A17" s="118" t="s">
        <v>83</v>
      </c>
      <c r="B17" s="118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</row>
    <row r="18" spans="1:17" ht="15" customHeight="1">
      <c r="A18" s="100">
        <v>1</v>
      </c>
      <c r="B18" s="101" t="s">
        <v>3</v>
      </c>
      <c r="C18" s="103">
        <f>+'ENERO-15'!E3+'FEBRERO-15'!E3+'MARZO-15'!E3+'ABRIL-15'!E3+'MAYO-15'!E3+'JUNIO-15'!E3+'JULIO-15'!E3+'AGOSTO-15'!E3+'SETIEMBRE-15'!E3+'OCTUBRE-15'!E3+'NOVIEMBRE-15'!E3+'DICIEMBRE-15'!E3</f>
        <v>17928</v>
      </c>
      <c r="D18" s="103">
        <f>+'ENERO-15'!F3+'FEBRERO-15'!F3+'MARZO-15'!F3+'ABRIL-15'!F3+'MAYO-15'!F3+'JUNIO-15'!F3+'JULIO-15'!F3+'AGOSTO-15'!F3+'SETIEMBRE-15'!F3+'OCTUBRE-15'!F3+'NOVIEMBRE-15'!F3+'DICIEMBRE-15'!F3</f>
        <v>1680</v>
      </c>
      <c r="E18" s="103">
        <f>+'ENERO-15'!G3+'FEBRERO-15'!G3+'MARZO-15'!G3+'ABRIL-15'!G3+'MAYO-15'!G3+'JUNIO-15'!G3+'JULIO-15'!G3+'AGOSTO-15'!G3+'SETIEMBRE-15'!G3+'OCTUBRE-15'!G3+'NOVIEMBRE-15'!G3+'DICIEMBRE-15'!G3</f>
        <v>1500</v>
      </c>
      <c r="F18" s="103">
        <f>+'ENERO-15'!H3+'FEBRERO-15'!H3+'MARZO-15'!H3+'ABRIL-15'!H3+'MAYO-15'!H3+'JUNIO-15'!H3+'JULIO-15'!H3+'AGOSTO-15'!H3+'SETIEMBRE-15'!H3+'OCTUBRE-15'!H3+'NOVIEMBRE-15'!H3+'DICIEMBRE-15'!H3</f>
        <v>0</v>
      </c>
      <c r="G18" s="103">
        <f>+'ENERO-15'!I3+'FEBRERO-15'!I3+'MARZO-15'!I3+'ABRIL-15'!I3+'MAYO-15'!I3+'JUNIO-15'!I3+'JULIO-15'!I3+'AGOSTO-15'!I3+'SETIEMBRE-15'!I3+'OCTUBRE-15'!I3+'NOVIEMBRE-15'!I3+'DICIEMBRE-15'!I3</f>
        <v>0</v>
      </c>
      <c r="H18" s="103">
        <f>+'ENERO-15'!J3+'FEBRERO-15'!J3+'MARZO-15'!J3+'ABRIL-15'!J3+'MAYO-15'!J3+'JUNIO-15'!J3+'JULIO-15'!J3+'AGOSTO-15'!J3+'SETIEMBRE-15'!J3+'OCTUBRE-15'!J3+'NOVIEMBRE-15'!J3+'DICIEMBRE-15'!J3</f>
        <v>3349.8199999999997</v>
      </c>
      <c r="I18" s="103">
        <f>+'ENERO-15'!K3+'FEBRERO-15'!K3+'MARZO-15'!K3+'ABRIL-15'!K3+'MAYO-15'!K3+'JUNIO-15'!K3+'JULIO-15'!K3+'AGOSTO-15'!K3+'SETIEMBRE-15'!K3+'OCTUBRE-15'!K3+'NOVIEMBRE-15'!K3+'DICIEMBRE-15'!K3</f>
        <v>2241</v>
      </c>
      <c r="J18" s="103">
        <f>+'ENERO-15'!L3+'FEBRERO-15'!L3+'MARZO-15'!L3+'ABRIL-15'!L3+'MAYO-15'!L3+'JUNIO-15'!L3+'JULIO-15'!L3+'AGOSTO-15'!L3+'SETIEMBRE-15'!L3+'OCTUBRE-15'!L3+'NOVIEMBRE-15'!L3+'DICIEMBRE-15'!L3</f>
        <v>0</v>
      </c>
      <c r="K18" s="103">
        <f>+'ENERO-15'!M3+'FEBRERO-15'!M3+'MARZO-15'!M3+'ABRIL-15'!M3+'MAYO-15'!M3+'JUNIO-15'!M3+'JULIO-15'!M3+'AGOSTO-15'!M3+'SETIEMBRE-15'!M3+'OCTUBRE-15'!M3+'NOVIEMBRE-15'!M3+'DICIEMBRE-15'!M3</f>
        <v>0</v>
      </c>
      <c r="L18" s="103">
        <f>+'ENERO-15'!N3+'FEBRERO-15'!N3+'MARZO-15'!N3+'ABRIL-15'!N3+'MAYO-15'!N3+'JUNIO-15'!N3+'JULIO-15'!N3+'AGOSTO-15'!N3+'SETIEMBRE-15'!N3+'OCTUBRE-15'!N3+'NOVIEMBRE-15'!N3+'DICIEMBRE-15'!N3</f>
        <v>0</v>
      </c>
      <c r="M18" s="103">
        <f>+'ENERO-15'!O3+'FEBRERO-15'!O3+'MARZO-15'!O3+'ABRIL-15'!O3+'MAYO-15'!O3+'JUNIO-15'!O3+'JULIO-15'!O3+'AGOSTO-15'!O3+'SETIEMBRE-15'!O3+'OCTUBRE-15'!O3+'NOVIEMBRE-15'!O3+'DICIEMBRE-15'!O3</f>
        <v>26698.820000000003</v>
      </c>
      <c r="N18" s="103">
        <f>+'ENERO-15'!P3+'FEBRERO-15'!P3+'MARZO-15'!P3+'ABRIL-15'!P3+'MAYO-15'!P3+'JUNIO-15'!P3+'JULIO-15'!P3+'AGOSTO-15'!P3+'SETIEMBRE-15'!P3+'OCTUBRE-15'!P3+'NOVIEMBRE-15'!P3+'DICIEMBRE-15'!P3</f>
        <v>23349</v>
      </c>
      <c r="O18" s="103">
        <f>+'ENERO-15'!Q3+'FEBRERO-15'!Q3+'MARZO-15'!Q3+'ABRIL-15'!Q3+'MAYO-15'!Q3+'JUNIO-15'!Q3+'JULIO-15'!Q3+'AGOSTO-15'!Q3+'SETIEMBRE-15'!Q3+'OCTUBRE-15'!Q3+'NOVIEMBRE-15'!Q3+'DICIEMBRE-15'!Q3</f>
        <v>2101.4100000000003</v>
      </c>
      <c r="P18" s="103">
        <f>+'ENERO-15'!R3+'FEBRERO-15'!R3+'MARZO-15'!R3+'ABRIL-15'!R3+'MAYO-15'!R3+'JUNIO-15'!R3+'JULIO-15'!R3+'AGOSTO-15'!R3+'SETIEMBRE-15'!R3+'OCTUBRE-15'!R3+'NOVIEMBRE-15'!R3+'DICIEMBRE-15'!R3</f>
        <v>0</v>
      </c>
      <c r="Q18" s="103">
        <f>+'ENERO-15'!S3+'FEBRERO-15'!S3+'MARZO-15'!S3+'ABRIL-15'!S3+'MAYO-15'!S3+'JUNIO-15'!S3+'JULIO-15'!S3+'AGOSTO-15'!S3+'SETIEMBRE-15'!S3+'OCTUBRE-15'!S3+'NOVIEMBRE-15'!S3+'DICIEMBRE-15'!S3</f>
        <v>2101.4100000000003</v>
      </c>
    </row>
    <row r="19" spans="1:17" ht="15" customHeight="1">
      <c r="A19" s="100">
        <v>2</v>
      </c>
      <c r="B19" s="101" t="s">
        <v>56</v>
      </c>
      <c r="C19" s="103">
        <f>+'ENERO-15'!E4+'FEBRERO-15'!E4+'MARZO-15'!E4+'ABRIL-15'!E4+'MAYO-15'!E4+'JUNIO-15'!E4+'JULIO-15'!E4+'AGOSTO-15'!E4+'SETIEMBRE-15'!E4+'OCTUBRE-15'!E4+'NOVIEMBRE-15'!E4+'DICIEMBRE-15'!E4</f>
        <v>11680</v>
      </c>
      <c r="D19" s="103">
        <f>+'ENERO-15'!F4+'FEBRERO-15'!F4+'MARZO-15'!F4+'ABRIL-15'!F4+'MAYO-15'!F4+'JUNIO-15'!F4+'JULIO-15'!F4+'AGOSTO-15'!F4+'SETIEMBRE-15'!F4+'OCTUBRE-15'!F4+'NOVIEMBRE-15'!F4+'DICIEMBRE-15'!F4</f>
        <v>375</v>
      </c>
      <c r="E19" s="103">
        <f>+'ENERO-15'!G4+'FEBRERO-15'!G4+'MARZO-15'!G4+'ABRIL-15'!G4+'MAYO-15'!G4+'JUNIO-15'!G4+'JULIO-15'!G4+'AGOSTO-15'!G4+'SETIEMBRE-15'!G4+'OCTUBRE-15'!G4+'NOVIEMBRE-15'!G4+'DICIEMBRE-15'!G4</f>
        <v>1200</v>
      </c>
      <c r="F19" s="103">
        <f>+'ENERO-15'!H4+'FEBRERO-15'!H4+'MARZO-15'!H4+'ABRIL-15'!H4+'MAYO-15'!H4+'JUNIO-15'!H4+'JULIO-15'!H4+'AGOSTO-15'!H4+'SETIEMBRE-15'!H4+'OCTUBRE-15'!H4+'NOVIEMBRE-15'!H4+'DICIEMBRE-15'!H4</f>
        <v>0</v>
      </c>
      <c r="G19" s="103">
        <f>+'ENERO-15'!I4+'FEBRERO-15'!I4+'MARZO-15'!I4+'ABRIL-15'!I4+'MAYO-15'!I4+'JUNIO-15'!I4+'JULIO-15'!I4+'AGOSTO-15'!I4+'SETIEMBRE-15'!I4+'OCTUBRE-15'!I4+'NOVIEMBRE-15'!I4+'DICIEMBRE-15'!I4</f>
        <v>0</v>
      </c>
      <c r="H19" s="103">
        <f>+'ENERO-15'!J4+'FEBRERO-15'!J4+'MARZO-15'!J4+'ABRIL-15'!J4+'MAYO-15'!J4+'JUNIO-15'!J4+'JULIO-15'!J4+'AGOSTO-15'!J4+'SETIEMBRE-15'!J4+'OCTUBRE-15'!J4+'NOVIEMBRE-15'!J4+'DICIEMBRE-15'!J4</f>
        <v>3264.55</v>
      </c>
      <c r="I19" s="103">
        <f>+'ENERO-15'!K4+'FEBRERO-15'!K4+'MARZO-15'!K4+'ABRIL-15'!K4+'MAYO-15'!K4+'JUNIO-15'!K4+'JULIO-15'!K4+'AGOSTO-15'!K4+'SETIEMBRE-15'!K4+'OCTUBRE-15'!K4+'NOVIEMBRE-15'!K4+'DICIEMBRE-15'!K4</f>
        <v>0</v>
      </c>
      <c r="J19" s="103">
        <f>+'ENERO-15'!L4+'FEBRERO-15'!L4+'MARZO-15'!L4+'ABRIL-15'!L4+'MAYO-15'!L4+'JUNIO-15'!L4+'JULIO-15'!L4+'AGOSTO-15'!L4+'SETIEMBRE-15'!L4+'OCTUBRE-15'!L4+'NOVIEMBRE-15'!L4+'DICIEMBRE-15'!L4</f>
        <v>0</v>
      </c>
      <c r="K19" s="103">
        <f>+'ENERO-15'!M4+'FEBRERO-15'!M4+'MARZO-15'!M4+'ABRIL-15'!M4+'MAYO-15'!M4+'JUNIO-15'!M4+'JULIO-15'!M4+'AGOSTO-15'!M4+'SETIEMBRE-15'!M4+'OCTUBRE-15'!M4+'NOVIEMBRE-15'!M4+'DICIEMBRE-15'!M4</f>
        <v>0</v>
      </c>
      <c r="L19" s="103">
        <f>+'ENERO-15'!N4+'FEBRERO-15'!N4+'MARZO-15'!N4+'ABRIL-15'!N4+'MAYO-15'!N4+'JUNIO-15'!N4+'JULIO-15'!N4+'AGOSTO-15'!N4+'SETIEMBRE-15'!N4+'OCTUBRE-15'!N4+'NOVIEMBRE-15'!N4+'DICIEMBRE-15'!N4</f>
        <v>0</v>
      </c>
      <c r="M19" s="103">
        <f>+'ENERO-15'!O4+'FEBRERO-15'!O4+'MARZO-15'!O4+'ABRIL-15'!O4+'MAYO-15'!O4+'JUNIO-15'!O4+'JULIO-15'!O4+'AGOSTO-15'!O4+'SETIEMBRE-15'!O4+'OCTUBRE-15'!O4+'NOVIEMBRE-15'!O4+'DICIEMBRE-15'!O4</f>
        <v>16519.55</v>
      </c>
      <c r="N19" s="103">
        <f>+'ENERO-15'!P4+'FEBRERO-15'!P4+'MARZO-15'!P4+'ABRIL-15'!P4+'MAYO-15'!P4+'JUNIO-15'!P4+'JULIO-15'!P4+'AGOSTO-15'!P4+'SETIEMBRE-15'!P4+'OCTUBRE-15'!P4+'NOVIEMBRE-15'!P4+'DICIEMBRE-15'!P4</f>
        <v>13255</v>
      </c>
      <c r="O19" s="103">
        <f>+'ENERO-15'!Q4+'FEBRERO-15'!Q4+'MARZO-15'!Q4+'ABRIL-15'!Q4+'MAYO-15'!Q4+'JUNIO-15'!Q4+'JULIO-15'!Q4+'AGOSTO-15'!Q4+'SETIEMBRE-15'!Q4+'OCTUBRE-15'!Q4+'NOVIEMBRE-15'!Q4+'DICIEMBRE-15'!Q4</f>
        <v>1192.95</v>
      </c>
      <c r="P19" s="103">
        <f>+'ENERO-15'!R4+'FEBRERO-15'!R4+'MARZO-15'!R4+'ABRIL-15'!R4+'MAYO-15'!R4+'JUNIO-15'!R4+'JULIO-15'!R4+'AGOSTO-15'!R4+'SETIEMBRE-15'!R4+'OCTUBRE-15'!R4+'NOVIEMBRE-15'!R4+'DICIEMBRE-15'!R4</f>
        <v>0</v>
      </c>
      <c r="Q19" s="103">
        <f>+'ENERO-15'!S4+'FEBRERO-15'!S4+'MARZO-15'!S4+'ABRIL-15'!S4+'MAYO-15'!S4+'JUNIO-15'!S4+'JULIO-15'!S4+'AGOSTO-15'!S4+'SETIEMBRE-15'!S4+'OCTUBRE-15'!S4+'NOVIEMBRE-15'!S4+'DICIEMBRE-15'!S4</f>
        <v>1192.95</v>
      </c>
    </row>
    <row r="20" spans="1:17" s="112" customFormat="1" ht="15" customHeight="1" thickBot="1">
      <c r="A20" s="119" t="s">
        <v>82</v>
      </c>
      <c r="B20" s="120"/>
      <c r="C20" s="111">
        <f>SUM(C18:C19)</f>
        <v>29608</v>
      </c>
      <c r="D20" s="111">
        <f t="shared" ref="D20" si="1">SUM(D18:D19)</f>
        <v>2055</v>
      </c>
      <c r="E20" s="111">
        <f t="shared" ref="E20" si="2">SUM(E18:E19)</f>
        <v>2700</v>
      </c>
      <c r="F20" s="111">
        <f t="shared" ref="F20" si="3">SUM(F18:F19)</f>
        <v>0</v>
      </c>
      <c r="G20" s="111">
        <f t="shared" ref="G20" si="4">SUM(G18:G19)</f>
        <v>0</v>
      </c>
      <c r="H20" s="111">
        <f t="shared" ref="H20" si="5">SUM(H18:H19)</f>
        <v>6614.37</v>
      </c>
      <c r="I20" s="111">
        <f t="shared" ref="I20" si="6">SUM(I18:I19)</f>
        <v>2241</v>
      </c>
      <c r="J20" s="111">
        <f t="shared" ref="J20" si="7">SUM(J18:J19)</f>
        <v>0</v>
      </c>
      <c r="K20" s="111">
        <f t="shared" ref="K20" si="8">SUM(K18:K19)</f>
        <v>0</v>
      </c>
      <c r="L20" s="111">
        <f t="shared" ref="L20" si="9">SUM(L18:L19)</f>
        <v>0</v>
      </c>
      <c r="M20" s="111">
        <f t="shared" ref="M20" si="10">SUM(M18:M19)</f>
        <v>43218.37</v>
      </c>
      <c r="N20" s="111">
        <f t="shared" ref="N20" si="11">SUM(N18:N19)</f>
        <v>36604</v>
      </c>
      <c r="O20" s="111">
        <f t="shared" ref="O20" si="12">SUM(O18:O19)</f>
        <v>3294.3600000000006</v>
      </c>
      <c r="P20" s="111">
        <f t="shared" ref="P20" si="13">SUM(P18:P19)</f>
        <v>0</v>
      </c>
      <c r="Q20" s="111">
        <f t="shared" ref="Q20" si="14">SUM(Q18:Q19)</f>
        <v>3294.3600000000006</v>
      </c>
    </row>
    <row r="21" spans="1:17" s="106" customFormat="1" ht="15" customHeight="1" thickTop="1">
      <c r="A21" s="107"/>
      <c r="B21" s="108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</row>
    <row r="22" spans="1:17" s="106" customFormat="1" ht="15" customHeight="1">
      <c r="A22" s="118" t="s">
        <v>84</v>
      </c>
      <c r="B22" s="118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</row>
    <row r="23" spans="1:17" ht="15" customHeight="1">
      <c r="A23" s="100">
        <v>1</v>
      </c>
      <c r="B23" s="101" t="s">
        <v>51</v>
      </c>
      <c r="C23" s="103">
        <f>+'ENERO-15'!E5+'FEBRERO-15'!E5+'MARZO-15'!E5+'ABRIL-15'!E5+'MAYO-15'!E5+'JUNIO-15'!E5+'JULIO-15'!E5+'AGOSTO-15'!E5+'SETIEMBRE-15'!E5+'OCTUBRE-15'!E5+'NOVIEMBRE-15'!E5+'DICIEMBRE-15'!E5</f>
        <v>14312</v>
      </c>
      <c r="D23" s="103">
        <f>+'ENERO-15'!F5+'FEBRERO-15'!F5+'MARZO-15'!F5+'ABRIL-15'!F5+'MAYO-15'!F5+'JUNIO-15'!F5+'JULIO-15'!F5+'AGOSTO-15'!F5+'SETIEMBRE-15'!F5+'OCTUBRE-15'!F5+'NOVIEMBRE-15'!F5+'DICIEMBRE-15'!F5</f>
        <v>1484</v>
      </c>
      <c r="E23" s="103">
        <f>+'ENERO-15'!G5+'FEBRERO-15'!G5+'MARZO-15'!G5+'ABRIL-15'!G5+'MAYO-15'!G5+'JUNIO-15'!G5+'JULIO-15'!G5+'AGOSTO-15'!G5+'SETIEMBRE-15'!G5+'OCTUBRE-15'!G5+'NOVIEMBRE-15'!G5+'DICIEMBRE-15'!G5</f>
        <v>900</v>
      </c>
      <c r="F23" s="103">
        <f>+'ENERO-15'!H5+'FEBRERO-15'!H5+'MARZO-15'!H5+'ABRIL-15'!H5+'MAYO-15'!H5+'JUNIO-15'!H5+'JULIO-15'!H5+'AGOSTO-15'!H5+'SETIEMBRE-15'!H5+'OCTUBRE-15'!H5+'NOVIEMBRE-15'!H5+'DICIEMBRE-15'!H5</f>
        <v>0</v>
      </c>
      <c r="G23" s="103">
        <f>+'ENERO-15'!I5+'FEBRERO-15'!I5+'MARZO-15'!I5+'ABRIL-15'!I5+'MAYO-15'!I5+'JUNIO-15'!I5+'JULIO-15'!I5+'AGOSTO-15'!I5+'SETIEMBRE-15'!I5+'OCTUBRE-15'!I5+'NOVIEMBRE-15'!I5+'DICIEMBRE-15'!I5</f>
        <v>0</v>
      </c>
      <c r="H23" s="103">
        <f>+'ENERO-15'!J5+'FEBRERO-15'!J5+'MARZO-15'!J5+'ABRIL-15'!J5+'MAYO-15'!J5+'JUNIO-15'!J5+'JULIO-15'!J5+'AGOSTO-15'!J5+'SETIEMBRE-15'!J5+'OCTUBRE-15'!J5+'NOVIEMBRE-15'!J5+'DICIEMBRE-15'!J5</f>
        <v>2151.66</v>
      </c>
      <c r="I23" s="103">
        <f>+'ENERO-15'!K5+'FEBRERO-15'!K5+'MARZO-15'!K5+'ABRIL-15'!K5+'MAYO-15'!K5+'JUNIO-15'!K5+'JULIO-15'!K5+'AGOSTO-15'!K5+'SETIEMBRE-15'!K5+'OCTUBRE-15'!K5+'NOVIEMBRE-15'!K5+'DICIEMBRE-15'!K5</f>
        <v>0</v>
      </c>
      <c r="J23" s="103">
        <f>+'ENERO-15'!L5+'FEBRERO-15'!L5+'MARZO-15'!L5+'ABRIL-15'!L5+'MAYO-15'!L5+'JUNIO-15'!L5+'JULIO-15'!L5+'AGOSTO-15'!L5+'SETIEMBRE-15'!L5+'OCTUBRE-15'!L5+'NOVIEMBRE-15'!L5+'DICIEMBRE-15'!L5</f>
        <v>0</v>
      </c>
      <c r="K23" s="103">
        <f>+'ENERO-15'!M5+'FEBRERO-15'!M5+'MARZO-15'!M5+'ABRIL-15'!M5+'MAYO-15'!M5+'JUNIO-15'!M5+'JULIO-15'!M5+'AGOSTO-15'!M5+'SETIEMBRE-15'!M5+'OCTUBRE-15'!M5+'NOVIEMBRE-15'!M5+'DICIEMBRE-15'!M5</f>
        <v>0</v>
      </c>
      <c r="L23" s="103">
        <f>+'ENERO-15'!N5+'FEBRERO-15'!N5+'MARZO-15'!N5+'ABRIL-15'!N5+'MAYO-15'!N5+'JUNIO-15'!N5+'JULIO-15'!N5+'AGOSTO-15'!N5+'SETIEMBRE-15'!N5+'OCTUBRE-15'!N5+'NOVIEMBRE-15'!N5+'DICIEMBRE-15'!N5</f>
        <v>880</v>
      </c>
      <c r="M23" s="103">
        <f>+'ENERO-15'!O5+'FEBRERO-15'!O5+'MARZO-15'!O5+'ABRIL-15'!O5+'MAYO-15'!O5+'JUNIO-15'!O5+'JULIO-15'!O5+'AGOSTO-15'!O5+'SETIEMBRE-15'!O5+'OCTUBRE-15'!O5+'NOVIEMBRE-15'!O5+'DICIEMBRE-15'!O5</f>
        <v>19727.66</v>
      </c>
      <c r="N23" s="103">
        <f>+'ENERO-15'!P5+'FEBRERO-15'!P5+'MARZO-15'!P5+'ABRIL-15'!P5+'MAYO-15'!P5+'JUNIO-15'!P5+'JULIO-15'!P5+'AGOSTO-15'!P5+'SETIEMBRE-15'!P5+'OCTUBRE-15'!P5+'NOVIEMBRE-15'!P5+'DICIEMBRE-15'!P5</f>
        <v>17576</v>
      </c>
      <c r="O23" s="103">
        <f>+'ENERO-15'!Q5+'FEBRERO-15'!Q5+'MARZO-15'!Q5+'ABRIL-15'!Q5+'MAYO-15'!Q5+'JUNIO-15'!Q5+'JULIO-15'!Q5+'AGOSTO-15'!Q5+'SETIEMBRE-15'!Q5+'OCTUBRE-15'!Q5+'NOVIEMBRE-15'!Q5+'DICIEMBRE-15'!Q5</f>
        <v>1581.84</v>
      </c>
      <c r="P23" s="103">
        <f>+'ENERO-15'!R5+'FEBRERO-15'!R5+'MARZO-15'!R5+'ABRIL-15'!R5+'MAYO-15'!R5+'JUNIO-15'!R5+'JULIO-15'!R5+'AGOSTO-15'!R5+'SETIEMBRE-15'!R5+'OCTUBRE-15'!R5+'NOVIEMBRE-15'!R5+'DICIEMBRE-15'!R5</f>
        <v>0</v>
      </c>
      <c r="Q23" s="103">
        <f>+'ENERO-15'!S5+'FEBRERO-15'!S5+'MARZO-15'!S5+'ABRIL-15'!S5+'MAYO-15'!S5+'JUNIO-15'!S5+'JULIO-15'!S5+'AGOSTO-15'!S5+'SETIEMBRE-15'!S5+'OCTUBRE-15'!S5+'NOVIEMBRE-15'!S5+'DICIEMBRE-15'!S5</f>
        <v>1581.84</v>
      </c>
    </row>
    <row r="24" spans="1:17" ht="15" customHeight="1">
      <c r="A24" s="100">
        <v>2</v>
      </c>
      <c r="B24" s="101" t="s">
        <v>24</v>
      </c>
      <c r="C24" s="103">
        <f>+'ENERO-15'!E6+'FEBRERO-15'!E6+'MARZO-15'!E6+'ABRIL-15'!E6+'MAYO-15'!E6+'JUNIO-15'!E6+'JULIO-15'!E6+'AGOSTO-15'!E6+'SETIEMBRE-15'!E6+'OCTUBRE-15'!E6+'NOVIEMBRE-15'!E6+'DICIEMBRE-15'!E6</f>
        <v>1951</v>
      </c>
      <c r="D24" s="103">
        <f>+'ENERO-15'!F6+'FEBRERO-15'!F6+'MARZO-15'!F6+'ABRIL-15'!F6+'MAYO-15'!F6+'JUNIO-15'!F6+'JULIO-15'!F6+'AGOSTO-15'!F6+'SETIEMBRE-15'!F6+'OCTUBRE-15'!F6+'NOVIEMBRE-15'!F6+'DICIEMBRE-15'!F6</f>
        <v>0</v>
      </c>
      <c r="E24" s="103">
        <f>+'ENERO-15'!G6+'FEBRERO-15'!G6+'MARZO-15'!G6+'ABRIL-15'!G6+'MAYO-15'!G6+'JUNIO-15'!G6+'JULIO-15'!G6+'AGOSTO-15'!G6+'SETIEMBRE-15'!G6+'OCTUBRE-15'!G6+'NOVIEMBRE-15'!G6+'DICIEMBRE-15'!G6</f>
        <v>0</v>
      </c>
      <c r="F24" s="103">
        <f>+'ENERO-15'!H6+'FEBRERO-15'!H6+'MARZO-15'!H6+'ABRIL-15'!H6+'MAYO-15'!H6+'JUNIO-15'!H6+'JULIO-15'!H6+'AGOSTO-15'!H6+'SETIEMBRE-15'!H6+'OCTUBRE-15'!H6+'NOVIEMBRE-15'!H6+'DICIEMBRE-15'!H6</f>
        <v>0</v>
      </c>
      <c r="G24" s="103">
        <f>+'ENERO-15'!I6+'FEBRERO-15'!I6+'MARZO-15'!I6+'ABRIL-15'!I6+'MAYO-15'!I6+'JUNIO-15'!I6+'JULIO-15'!I6+'AGOSTO-15'!I6+'SETIEMBRE-15'!I6+'OCTUBRE-15'!I6+'NOVIEMBRE-15'!I6+'DICIEMBRE-15'!I6</f>
        <v>0</v>
      </c>
      <c r="H24" s="103">
        <f>+'ENERO-15'!J6+'FEBRERO-15'!J6+'MARZO-15'!J6+'ABRIL-15'!J6+'MAYO-15'!J6+'JUNIO-15'!J6+'JULIO-15'!J6+'AGOSTO-15'!J6+'SETIEMBRE-15'!J6+'OCTUBRE-15'!J6+'NOVIEMBRE-15'!J6+'DICIEMBRE-15'!J6</f>
        <v>0</v>
      </c>
      <c r="I24" s="103">
        <f>+'ENERO-15'!K6+'FEBRERO-15'!K6+'MARZO-15'!K6+'ABRIL-15'!K6+'MAYO-15'!K6+'JUNIO-15'!K6+'JULIO-15'!K6+'AGOSTO-15'!K6+'SETIEMBRE-15'!K6+'OCTUBRE-15'!K6+'NOVIEMBRE-15'!K6+'DICIEMBRE-15'!K6</f>
        <v>0</v>
      </c>
      <c r="J24" s="103">
        <f>+'ENERO-15'!L6+'FEBRERO-15'!L6+'MARZO-15'!L6+'ABRIL-15'!L6+'MAYO-15'!L6+'JUNIO-15'!L6+'JULIO-15'!L6+'AGOSTO-15'!L6+'SETIEMBRE-15'!L6+'OCTUBRE-15'!L6+'NOVIEMBRE-15'!L6+'DICIEMBRE-15'!L6</f>
        <v>0</v>
      </c>
      <c r="K24" s="103">
        <f>+'ENERO-15'!M6+'FEBRERO-15'!M6+'MARZO-15'!M6+'ABRIL-15'!M6+'MAYO-15'!M6+'JUNIO-15'!M6+'JULIO-15'!M6+'AGOSTO-15'!M6+'SETIEMBRE-15'!M6+'OCTUBRE-15'!M6+'NOVIEMBRE-15'!M6+'DICIEMBRE-15'!M6</f>
        <v>0</v>
      </c>
      <c r="L24" s="103">
        <f>+'ENERO-15'!N6+'FEBRERO-15'!N6+'MARZO-15'!N6+'ABRIL-15'!N6+'MAYO-15'!N6+'JUNIO-15'!N6+'JULIO-15'!N6+'AGOSTO-15'!N6+'SETIEMBRE-15'!N6+'OCTUBRE-15'!N6+'NOVIEMBRE-15'!N6+'DICIEMBRE-15'!N6</f>
        <v>0</v>
      </c>
      <c r="M24" s="103">
        <f>+'ENERO-15'!O6+'FEBRERO-15'!O6+'MARZO-15'!O6+'ABRIL-15'!O6+'MAYO-15'!O6+'JUNIO-15'!O6+'JULIO-15'!O6+'AGOSTO-15'!O6+'SETIEMBRE-15'!O6+'OCTUBRE-15'!O6+'NOVIEMBRE-15'!O6+'DICIEMBRE-15'!O6</f>
        <v>1951</v>
      </c>
      <c r="N24" s="103">
        <f>+'ENERO-15'!P6+'FEBRERO-15'!P6+'MARZO-15'!P6+'ABRIL-15'!P6+'MAYO-15'!P6+'JUNIO-15'!P6+'JULIO-15'!P6+'AGOSTO-15'!P6+'SETIEMBRE-15'!P6+'OCTUBRE-15'!P6+'NOVIEMBRE-15'!P6+'DICIEMBRE-15'!P6</f>
        <v>1951</v>
      </c>
      <c r="O24" s="103">
        <f>+'ENERO-15'!Q6+'FEBRERO-15'!Q6+'MARZO-15'!Q6+'ABRIL-15'!Q6+'MAYO-15'!Q6+'JUNIO-15'!Q6+'JULIO-15'!Q6+'AGOSTO-15'!Q6+'SETIEMBRE-15'!Q6+'OCTUBRE-15'!Q6+'NOVIEMBRE-15'!Q6+'DICIEMBRE-15'!Q6</f>
        <v>175.59</v>
      </c>
      <c r="P24" s="103">
        <f>+'ENERO-15'!R6+'FEBRERO-15'!R6+'MARZO-15'!R6+'ABRIL-15'!R6+'MAYO-15'!R6+'JUNIO-15'!R6+'JULIO-15'!R6+'AGOSTO-15'!R6+'SETIEMBRE-15'!R6+'OCTUBRE-15'!R6+'NOVIEMBRE-15'!R6+'DICIEMBRE-15'!R6</f>
        <v>0</v>
      </c>
      <c r="Q24" s="103">
        <f>+'ENERO-15'!S6+'FEBRERO-15'!S6+'MARZO-15'!S6+'ABRIL-15'!S6+'MAYO-15'!S6+'JUNIO-15'!S6+'JULIO-15'!S6+'AGOSTO-15'!S6+'SETIEMBRE-15'!S6+'OCTUBRE-15'!S6+'NOVIEMBRE-15'!S6+'DICIEMBRE-15'!S6</f>
        <v>175.59</v>
      </c>
    </row>
    <row r="25" spans="1:17" s="112" customFormat="1" ht="15" customHeight="1" thickBot="1">
      <c r="A25" s="119" t="s">
        <v>82</v>
      </c>
      <c r="B25" s="120"/>
      <c r="C25" s="111">
        <f>SUM(C23:C24)</f>
        <v>16263</v>
      </c>
      <c r="D25" s="111">
        <f t="shared" ref="D25" si="15">SUM(D23:D24)</f>
        <v>1484</v>
      </c>
      <c r="E25" s="111">
        <f t="shared" ref="E25" si="16">SUM(E23:E24)</f>
        <v>900</v>
      </c>
      <c r="F25" s="111">
        <f t="shared" ref="F25" si="17">SUM(F23:F24)</f>
        <v>0</v>
      </c>
      <c r="G25" s="111">
        <f t="shared" ref="G25" si="18">SUM(G23:G24)</f>
        <v>0</v>
      </c>
      <c r="H25" s="111">
        <f t="shared" ref="H25" si="19">SUM(H23:H24)</f>
        <v>2151.66</v>
      </c>
      <c r="I25" s="111">
        <f t="shared" ref="I25" si="20">SUM(I23:I24)</f>
        <v>0</v>
      </c>
      <c r="J25" s="111">
        <f t="shared" ref="J25" si="21">SUM(J23:J24)</f>
        <v>0</v>
      </c>
      <c r="K25" s="111">
        <f t="shared" ref="K25" si="22">SUM(K23:K24)</f>
        <v>0</v>
      </c>
      <c r="L25" s="111">
        <f t="shared" ref="L25" si="23">SUM(L23:L24)</f>
        <v>880</v>
      </c>
      <c r="M25" s="111">
        <f t="shared" ref="M25" si="24">SUM(M23:M24)</f>
        <v>21678.66</v>
      </c>
      <c r="N25" s="111">
        <f t="shared" ref="N25" si="25">SUM(N23:N24)</f>
        <v>19527</v>
      </c>
      <c r="O25" s="111">
        <f t="shared" ref="O25" si="26">SUM(O23:O24)</f>
        <v>1757.4299999999998</v>
      </c>
      <c r="P25" s="111">
        <f t="shared" ref="P25" si="27">SUM(P23:P24)</f>
        <v>0</v>
      </c>
      <c r="Q25" s="111">
        <f t="shared" ref="Q25" si="28">SUM(Q23:Q24)</f>
        <v>1757.4299999999998</v>
      </c>
    </row>
    <row r="26" spans="1:17" s="106" customFormat="1" ht="15" customHeight="1" thickTop="1">
      <c r="A26" s="107"/>
      <c r="B26" s="108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</row>
    <row r="27" spans="1:17" s="106" customFormat="1" ht="15" customHeight="1">
      <c r="A27" s="123" t="s">
        <v>85</v>
      </c>
      <c r="B27" s="123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</row>
    <row r="28" spans="1:17" s="106" customFormat="1" ht="15" customHeight="1">
      <c r="A28" s="118" t="s">
        <v>87</v>
      </c>
      <c r="B28" s="118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</row>
    <row r="29" spans="1:17" ht="15" customHeight="1">
      <c r="A29" s="100">
        <v>1</v>
      </c>
      <c r="B29" s="101" t="s">
        <v>5</v>
      </c>
      <c r="C29" s="103">
        <f>+'ENERO-15'!E7+'FEBRERO-15'!E7+'MARZO-15'!E7+'ABRIL-15'!E7+'MAYO-15'!E7+'JUNIO-15'!E7+'JULIO-15'!E7+'AGOSTO-15'!E7+'SETIEMBRE-15'!E7+'OCTUBRE-15'!E7+'NOVIEMBRE-15'!E7+'DICIEMBRE-15'!E7</f>
        <v>22788</v>
      </c>
      <c r="D29" s="103">
        <f>+'ENERO-15'!F7+'FEBRERO-15'!F7+'MARZO-15'!F7+'ABRIL-15'!F7+'MAYO-15'!F7+'JUNIO-15'!F7+'JULIO-15'!F7+'AGOSTO-15'!F7+'SETIEMBRE-15'!F7+'OCTUBRE-15'!F7+'NOVIEMBRE-15'!F7+'DICIEMBRE-15'!F7</f>
        <v>3753</v>
      </c>
      <c r="E29" s="103">
        <f>+'ENERO-15'!G7+'FEBRERO-15'!G7+'MARZO-15'!G7+'ABRIL-15'!G7+'MAYO-15'!G7+'JUNIO-15'!G7+'JULIO-15'!G7+'AGOSTO-15'!G7+'SETIEMBRE-15'!G7+'OCTUBRE-15'!G7+'NOVIEMBRE-15'!G7+'DICIEMBRE-15'!G7</f>
        <v>3000</v>
      </c>
      <c r="F29" s="103">
        <f>+'ENERO-15'!H7+'FEBRERO-15'!H7+'MARZO-15'!H7+'ABRIL-15'!H7+'MAYO-15'!H7+'JUNIO-15'!H7+'JULIO-15'!H7+'AGOSTO-15'!H7+'SETIEMBRE-15'!H7+'OCTUBRE-15'!H7+'NOVIEMBRE-15'!H7+'DICIEMBRE-15'!H7</f>
        <v>0</v>
      </c>
      <c r="G29" s="103">
        <f>+'ENERO-15'!I7+'FEBRERO-15'!I7+'MARZO-15'!I7+'ABRIL-15'!I7+'MAYO-15'!I7+'JUNIO-15'!I7+'JULIO-15'!I7+'AGOSTO-15'!I7+'SETIEMBRE-15'!I7+'OCTUBRE-15'!I7+'NOVIEMBRE-15'!I7+'DICIEMBRE-15'!I7</f>
        <v>222.60000000000005</v>
      </c>
      <c r="H29" s="103">
        <f>+'ENERO-15'!J7+'FEBRERO-15'!J7+'MARZO-15'!J7+'ABRIL-15'!J7+'MAYO-15'!J7+'JUNIO-15'!J7+'JULIO-15'!J7+'AGOSTO-15'!J7+'SETIEMBRE-15'!J7+'OCTUBRE-15'!J7+'NOVIEMBRE-15'!J7+'DICIEMBRE-15'!J7</f>
        <v>4343.76</v>
      </c>
      <c r="I29" s="103">
        <f>+'ENERO-15'!K7+'FEBRERO-15'!K7+'MARZO-15'!K7+'ABRIL-15'!K7+'MAYO-15'!K7+'JUNIO-15'!K7+'JULIO-15'!K7+'AGOSTO-15'!K7+'SETIEMBRE-15'!K7+'OCTUBRE-15'!K7+'NOVIEMBRE-15'!K7+'DICIEMBRE-15'!K7</f>
        <v>1992.55</v>
      </c>
      <c r="J29" s="103">
        <f>+'ENERO-15'!L7+'FEBRERO-15'!L7+'MARZO-15'!L7+'ABRIL-15'!L7+'MAYO-15'!L7+'JUNIO-15'!L7+'JULIO-15'!L7+'AGOSTO-15'!L7+'SETIEMBRE-15'!L7+'OCTUBRE-15'!L7+'NOVIEMBRE-15'!L7+'DICIEMBRE-15'!L7</f>
        <v>0</v>
      </c>
      <c r="K29" s="103">
        <f>+'ENERO-15'!M7+'FEBRERO-15'!M7+'MARZO-15'!M7+'ABRIL-15'!M7+'MAYO-15'!M7+'JUNIO-15'!M7+'JULIO-15'!M7+'AGOSTO-15'!M7+'SETIEMBRE-15'!M7+'OCTUBRE-15'!M7+'NOVIEMBRE-15'!M7+'DICIEMBRE-15'!M7</f>
        <v>0</v>
      </c>
      <c r="L29" s="103">
        <f>+'ENERO-15'!N7+'FEBRERO-15'!N7+'MARZO-15'!N7+'ABRIL-15'!N7+'MAYO-15'!N7+'JUNIO-15'!N7+'JULIO-15'!N7+'AGOSTO-15'!N7+'SETIEMBRE-15'!N7+'OCTUBRE-15'!N7+'NOVIEMBRE-15'!N7+'DICIEMBRE-15'!N7</f>
        <v>0</v>
      </c>
      <c r="M29" s="103">
        <f>+'ENERO-15'!O7+'FEBRERO-15'!O7+'MARZO-15'!O7+'ABRIL-15'!O7+'MAYO-15'!O7+'JUNIO-15'!O7+'JULIO-15'!O7+'AGOSTO-15'!O7+'SETIEMBRE-15'!O7+'OCTUBRE-15'!O7+'NOVIEMBRE-15'!O7+'DICIEMBRE-15'!O7</f>
        <v>36099.910000000003</v>
      </c>
      <c r="N29" s="103">
        <f>+'ENERO-15'!P7+'FEBRERO-15'!P7+'MARZO-15'!P7+'ABRIL-15'!P7+'MAYO-15'!P7+'JUNIO-15'!P7+'JULIO-15'!P7+'AGOSTO-15'!P7+'SETIEMBRE-15'!P7+'OCTUBRE-15'!P7+'NOVIEMBRE-15'!P7+'DICIEMBRE-15'!P7</f>
        <v>31756.149999999998</v>
      </c>
      <c r="O29" s="103">
        <f>+'ENERO-15'!Q7+'FEBRERO-15'!Q7+'MARZO-15'!Q7+'ABRIL-15'!Q7+'MAYO-15'!Q7+'JUNIO-15'!Q7+'JULIO-15'!Q7+'AGOSTO-15'!Q7+'SETIEMBRE-15'!Q7+'OCTUBRE-15'!Q7+'NOVIEMBRE-15'!Q7+'DICIEMBRE-15'!Q7</f>
        <v>2858.0535</v>
      </c>
      <c r="P29" s="103">
        <f>+'ENERO-15'!R7+'FEBRERO-15'!R7+'MARZO-15'!R7+'ABRIL-15'!R7+'MAYO-15'!R7+'JUNIO-15'!R7+'JULIO-15'!R7+'AGOSTO-15'!R7+'SETIEMBRE-15'!R7+'OCTUBRE-15'!R7+'NOVIEMBRE-15'!R7+'DICIEMBRE-15'!R7</f>
        <v>0</v>
      </c>
      <c r="Q29" s="103">
        <f>+'ENERO-15'!S7+'FEBRERO-15'!S7+'MARZO-15'!S7+'ABRIL-15'!S7+'MAYO-15'!S7+'JUNIO-15'!S7+'JULIO-15'!S7+'AGOSTO-15'!S7+'SETIEMBRE-15'!S7+'OCTUBRE-15'!S7+'NOVIEMBRE-15'!S7+'DICIEMBRE-15'!S7</f>
        <v>2858.0535</v>
      </c>
    </row>
    <row r="30" spans="1:17" ht="15" customHeight="1">
      <c r="A30" s="100">
        <v>2</v>
      </c>
      <c r="B30" s="101" t="s">
        <v>34</v>
      </c>
      <c r="C30" s="103">
        <f>+'ENERO-15'!E8+'FEBRERO-15'!E8+'MARZO-15'!E8+'ABRIL-15'!E8+'MAYO-15'!E8+'JUNIO-15'!E8+'JULIO-15'!E8+'AGOSTO-15'!E8+'SETIEMBRE-15'!E8+'OCTUBRE-15'!E8+'NOVIEMBRE-15'!E8+'DICIEMBRE-15'!E8</f>
        <v>19992</v>
      </c>
      <c r="D30" s="103">
        <f>+'ENERO-15'!F8+'FEBRERO-15'!F8+'MARZO-15'!F8+'ABRIL-15'!F8+'MAYO-15'!F8+'JUNIO-15'!F8+'JULIO-15'!F8+'AGOSTO-15'!F8+'SETIEMBRE-15'!F8+'OCTUBRE-15'!F8+'NOVIEMBRE-15'!F8+'DICIEMBRE-15'!F8</f>
        <v>5454.1100000000006</v>
      </c>
      <c r="E30" s="103">
        <f>+'ENERO-15'!G8+'FEBRERO-15'!G8+'MARZO-15'!G8+'ABRIL-15'!G8+'MAYO-15'!G8+'JUNIO-15'!G8+'JULIO-15'!G8+'AGOSTO-15'!G8+'SETIEMBRE-15'!G8+'OCTUBRE-15'!G8+'NOVIEMBRE-15'!G8+'DICIEMBRE-15'!G8</f>
        <v>2500</v>
      </c>
      <c r="F30" s="103">
        <f>+'ENERO-15'!H8+'FEBRERO-15'!H8+'MARZO-15'!H8+'ABRIL-15'!H8+'MAYO-15'!H8+'JUNIO-15'!H8+'JULIO-15'!H8+'AGOSTO-15'!H8+'SETIEMBRE-15'!H8+'OCTUBRE-15'!H8+'NOVIEMBRE-15'!H8+'DICIEMBRE-15'!H8</f>
        <v>0</v>
      </c>
      <c r="G30" s="103">
        <f>+'ENERO-15'!I8+'FEBRERO-15'!I8+'MARZO-15'!I8+'ABRIL-15'!I8+'MAYO-15'!I8+'JUNIO-15'!I8+'JULIO-15'!I8+'AGOSTO-15'!I8+'SETIEMBRE-15'!I8+'OCTUBRE-15'!I8+'NOVIEMBRE-15'!I8+'DICIEMBRE-15'!I8</f>
        <v>0</v>
      </c>
      <c r="H30" s="103">
        <f>+'ENERO-15'!J8+'FEBRERO-15'!J8+'MARZO-15'!J8+'ABRIL-15'!J8+'MAYO-15'!J8+'JUNIO-15'!J8+'JULIO-15'!J8+'AGOSTO-15'!J8+'SETIEMBRE-15'!J8+'OCTUBRE-15'!J8+'NOVIEMBRE-15'!J8+'DICIEMBRE-15'!J8</f>
        <v>4393.2999999999993</v>
      </c>
      <c r="I30" s="103">
        <f>+'ENERO-15'!K8+'FEBRERO-15'!K8+'MARZO-15'!K8+'ABRIL-15'!K8+'MAYO-15'!K8+'JUNIO-15'!K8+'JULIO-15'!K8+'AGOSTO-15'!K8+'SETIEMBRE-15'!K8+'OCTUBRE-15'!K8+'NOVIEMBRE-15'!K8+'DICIEMBRE-15'!K8</f>
        <v>2207</v>
      </c>
      <c r="J30" s="103">
        <f>+'ENERO-15'!L8+'FEBRERO-15'!L8+'MARZO-15'!L8+'ABRIL-15'!L8+'MAYO-15'!L8+'JUNIO-15'!L8+'JULIO-15'!L8+'AGOSTO-15'!L8+'SETIEMBRE-15'!L8+'OCTUBRE-15'!L8+'NOVIEMBRE-15'!L8+'DICIEMBRE-15'!L8</f>
        <v>0</v>
      </c>
      <c r="K30" s="103">
        <f>+'ENERO-15'!M8+'FEBRERO-15'!M8+'MARZO-15'!M8+'ABRIL-15'!M8+'MAYO-15'!M8+'JUNIO-15'!M8+'JULIO-15'!M8+'AGOSTO-15'!M8+'SETIEMBRE-15'!M8+'OCTUBRE-15'!M8+'NOVIEMBRE-15'!M8+'DICIEMBRE-15'!M8</f>
        <v>920</v>
      </c>
      <c r="L30" s="103">
        <f>+'ENERO-15'!N8+'FEBRERO-15'!N8+'MARZO-15'!N8+'ABRIL-15'!N8+'MAYO-15'!N8+'JUNIO-15'!N8+'JULIO-15'!N8+'AGOSTO-15'!N8+'SETIEMBRE-15'!N8+'OCTUBRE-15'!N8+'NOVIEMBRE-15'!N8+'DICIEMBRE-15'!N8</f>
        <v>3029</v>
      </c>
      <c r="M30" s="103">
        <f>+'ENERO-15'!O8+'FEBRERO-15'!O8+'MARZO-15'!O8+'ABRIL-15'!O8+'MAYO-15'!O8+'JUNIO-15'!O8+'JULIO-15'!O8+'AGOSTO-15'!O8+'SETIEMBRE-15'!O8+'OCTUBRE-15'!O8+'NOVIEMBRE-15'!O8+'DICIEMBRE-15'!O8</f>
        <v>38495.410000000003</v>
      </c>
      <c r="N30" s="103">
        <f>+'ENERO-15'!P8+'FEBRERO-15'!P8+'MARZO-15'!P8+'ABRIL-15'!P8+'MAYO-15'!P8+'JUNIO-15'!P8+'JULIO-15'!P8+'AGOSTO-15'!P8+'SETIEMBRE-15'!P8+'OCTUBRE-15'!P8+'NOVIEMBRE-15'!P8+'DICIEMBRE-15'!P8</f>
        <v>33182.11</v>
      </c>
      <c r="O30" s="103">
        <f>+'ENERO-15'!Q8+'FEBRERO-15'!Q8+'MARZO-15'!Q8+'ABRIL-15'!Q8+'MAYO-15'!Q8+'JUNIO-15'!Q8+'JULIO-15'!Q8+'AGOSTO-15'!Q8+'SETIEMBRE-15'!Q8+'OCTUBRE-15'!Q8+'NOVIEMBRE-15'!Q8+'DICIEMBRE-15'!Q8</f>
        <v>2986.3899000000006</v>
      </c>
      <c r="P30" s="103">
        <f>+'ENERO-15'!R8+'FEBRERO-15'!R8+'MARZO-15'!R8+'ABRIL-15'!R8+'MAYO-15'!R8+'JUNIO-15'!R8+'JULIO-15'!R8+'AGOSTO-15'!R8+'SETIEMBRE-15'!R8+'OCTUBRE-15'!R8+'NOVIEMBRE-15'!R8+'DICIEMBRE-15'!R8</f>
        <v>0</v>
      </c>
      <c r="Q30" s="103">
        <f>+'ENERO-15'!S8+'FEBRERO-15'!S8+'MARZO-15'!S8+'ABRIL-15'!S8+'MAYO-15'!S8+'JUNIO-15'!S8+'JULIO-15'!S8+'AGOSTO-15'!S8+'SETIEMBRE-15'!S8+'OCTUBRE-15'!S8+'NOVIEMBRE-15'!S8+'DICIEMBRE-15'!S8</f>
        <v>2986.3899000000006</v>
      </c>
    </row>
    <row r="31" spans="1:17" ht="15" customHeight="1">
      <c r="A31" s="100">
        <v>3</v>
      </c>
      <c r="B31" s="101" t="s">
        <v>7</v>
      </c>
      <c r="C31" s="103">
        <f>+'ENERO-15'!E9+'FEBRERO-15'!E9+'MARZO-15'!E9+'ABRIL-15'!E9+'MAYO-15'!E9+'JUNIO-15'!E9+'JULIO-15'!E9+'AGOSTO-15'!E9+'SETIEMBRE-15'!E9+'OCTUBRE-15'!E9+'NOVIEMBRE-15'!E9+'DICIEMBRE-15'!E9</f>
        <v>20724</v>
      </c>
      <c r="D31" s="103">
        <f>+'ENERO-15'!F9+'FEBRERO-15'!F9+'MARZO-15'!F9+'ABRIL-15'!F9+'MAYO-15'!F9+'JUNIO-15'!F9+'JULIO-15'!F9+'AGOSTO-15'!F9+'SETIEMBRE-15'!F9+'OCTUBRE-15'!F9+'NOVIEMBRE-15'!F9+'DICIEMBRE-15'!F9</f>
        <v>3543.35</v>
      </c>
      <c r="E31" s="103">
        <f>+'ENERO-15'!G9+'FEBRERO-15'!G9+'MARZO-15'!G9+'ABRIL-15'!G9+'MAYO-15'!G9+'JUNIO-15'!G9+'JULIO-15'!G9+'AGOSTO-15'!G9+'SETIEMBRE-15'!G9+'OCTUBRE-15'!G9+'NOVIEMBRE-15'!G9+'DICIEMBRE-15'!G9</f>
        <v>1650</v>
      </c>
      <c r="F31" s="103">
        <f>+'ENERO-15'!H9+'FEBRERO-15'!H9+'MARZO-15'!H9+'ABRIL-15'!H9+'MAYO-15'!H9+'JUNIO-15'!H9+'JULIO-15'!H9+'AGOSTO-15'!H9+'SETIEMBRE-15'!H9+'OCTUBRE-15'!H9+'NOVIEMBRE-15'!H9+'DICIEMBRE-15'!H9</f>
        <v>0</v>
      </c>
      <c r="G31" s="103">
        <f>+'ENERO-15'!I9+'FEBRERO-15'!I9+'MARZO-15'!I9+'ABRIL-15'!I9+'MAYO-15'!I9+'JUNIO-15'!I9+'JULIO-15'!I9+'AGOSTO-15'!I9+'SETIEMBRE-15'!I9+'OCTUBRE-15'!I9+'NOVIEMBRE-15'!I9+'DICIEMBRE-15'!I9</f>
        <v>0</v>
      </c>
      <c r="H31" s="103">
        <f>+'ENERO-15'!J9+'FEBRERO-15'!J9+'MARZO-15'!J9+'ABRIL-15'!J9+'MAYO-15'!J9+'JUNIO-15'!J9+'JULIO-15'!J9+'AGOSTO-15'!J9+'SETIEMBRE-15'!J9+'OCTUBRE-15'!J9+'NOVIEMBRE-15'!J9+'DICIEMBRE-15'!J9</f>
        <v>4192.1400000000003</v>
      </c>
      <c r="I31" s="103">
        <f>+'ENERO-15'!K9+'FEBRERO-15'!K9+'MARZO-15'!K9+'ABRIL-15'!K9+'MAYO-15'!K9+'JUNIO-15'!K9+'JULIO-15'!K9+'AGOSTO-15'!K9+'SETIEMBRE-15'!K9+'OCTUBRE-15'!K9+'NOVIEMBRE-15'!K9+'DICIEMBRE-15'!K9</f>
        <v>1923</v>
      </c>
      <c r="J31" s="103">
        <f>+'ENERO-15'!L9+'FEBRERO-15'!L9+'MARZO-15'!L9+'ABRIL-15'!L9+'MAYO-15'!L9+'JUNIO-15'!L9+'JULIO-15'!L9+'AGOSTO-15'!L9+'SETIEMBRE-15'!L9+'OCTUBRE-15'!L9+'NOVIEMBRE-15'!L9+'DICIEMBRE-15'!L9</f>
        <v>0</v>
      </c>
      <c r="K31" s="103">
        <f>+'ENERO-15'!M9+'FEBRERO-15'!M9+'MARZO-15'!M9+'ABRIL-15'!M9+'MAYO-15'!M9+'JUNIO-15'!M9+'JULIO-15'!M9+'AGOSTO-15'!M9+'SETIEMBRE-15'!M9+'OCTUBRE-15'!M9+'NOVIEMBRE-15'!M9+'DICIEMBRE-15'!M9</f>
        <v>0</v>
      </c>
      <c r="L31" s="103">
        <f>+'ENERO-15'!N9+'FEBRERO-15'!N9+'MARZO-15'!N9+'ABRIL-15'!N9+'MAYO-15'!N9+'JUNIO-15'!N9+'JULIO-15'!N9+'AGOSTO-15'!N9+'SETIEMBRE-15'!N9+'OCTUBRE-15'!N9+'NOVIEMBRE-15'!N9+'DICIEMBRE-15'!N9</f>
        <v>1452</v>
      </c>
      <c r="M31" s="103">
        <f>+'ENERO-15'!O9+'FEBRERO-15'!O9+'MARZO-15'!O9+'ABRIL-15'!O9+'MAYO-15'!O9+'JUNIO-15'!O9+'JULIO-15'!O9+'AGOSTO-15'!O9+'SETIEMBRE-15'!O9+'OCTUBRE-15'!O9+'NOVIEMBRE-15'!O9+'DICIEMBRE-15'!O9</f>
        <v>33484.49</v>
      </c>
      <c r="N31" s="103">
        <f>+'ENERO-15'!P9+'FEBRERO-15'!P9+'MARZO-15'!P9+'ABRIL-15'!P9+'MAYO-15'!P9+'JUNIO-15'!P9+'JULIO-15'!P9+'AGOSTO-15'!P9+'SETIEMBRE-15'!P9+'OCTUBRE-15'!P9+'NOVIEMBRE-15'!P9+'DICIEMBRE-15'!P9</f>
        <v>29292.35</v>
      </c>
      <c r="O31" s="103">
        <f>+'ENERO-15'!Q9+'FEBRERO-15'!Q9+'MARZO-15'!Q9+'ABRIL-15'!Q9+'MAYO-15'!Q9+'JUNIO-15'!Q9+'JULIO-15'!Q9+'AGOSTO-15'!Q9+'SETIEMBRE-15'!Q9+'OCTUBRE-15'!Q9+'NOVIEMBRE-15'!Q9+'DICIEMBRE-15'!Q9</f>
        <v>2636.3114999999998</v>
      </c>
      <c r="P31" s="103">
        <f>+'ENERO-15'!R9+'FEBRERO-15'!R9+'MARZO-15'!R9+'ABRIL-15'!R9+'MAYO-15'!R9+'JUNIO-15'!R9+'JULIO-15'!R9+'AGOSTO-15'!R9+'SETIEMBRE-15'!R9+'OCTUBRE-15'!R9+'NOVIEMBRE-15'!R9+'DICIEMBRE-15'!R9</f>
        <v>0</v>
      </c>
      <c r="Q31" s="103">
        <f>+'ENERO-15'!S9+'FEBRERO-15'!S9+'MARZO-15'!S9+'ABRIL-15'!S9+'MAYO-15'!S9+'JUNIO-15'!S9+'JULIO-15'!S9+'AGOSTO-15'!S9+'SETIEMBRE-15'!S9+'OCTUBRE-15'!S9+'NOVIEMBRE-15'!S9+'DICIEMBRE-15'!S9</f>
        <v>2636.3114999999998</v>
      </c>
    </row>
    <row r="32" spans="1:17" ht="15" customHeight="1">
      <c r="A32" s="100">
        <v>4</v>
      </c>
      <c r="B32" s="101" t="s">
        <v>8</v>
      </c>
      <c r="C32" s="103">
        <f>+'ENERO-15'!E10+'FEBRERO-15'!E10+'MARZO-15'!E10+'ABRIL-15'!E10+'MAYO-15'!E10+'JUNIO-15'!E10+'JULIO-15'!E10+'AGOSTO-15'!E10+'SETIEMBRE-15'!E10+'OCTUBRE-15'!E10+'NOVIEMBRE-15'!E10+'DICIEMBRE-15'!E10</f>
        <v>23412</v>
      </c>
      <c r="D32" s="103">
        <f>+'ENERO-15'!F10+'FEBRERO-15'!F10+'MARZO-15'!F10+'ABRIL-15'!F10+'MAYO-15'!F10+'JUNIO-15'!F10+'JULIO-15'!F10+'AGOSTO-15'!F10+'SETIEMBRE-15'!F10+'OCTUBRE-15'!F10+'NOVIEMBRE-15'!F10+'DICIEMBRE-15'!F10</f>
        <v>3273.2900000000004</v>
      </c>
      <c r="E32" s="103">
        <f>+'ENERO-15'!G10+'FEBRERO-15'!G10+'MARZO-15'!G10+'ABRIL-15'!G10+'MAYO-15'!G10+'JUNIO-15'!G10+'JULIO-15'!G10+'AGOSTO-15'!G10+'SETIEMBRE-15'!G10+'OCTUBRE-15'!G10+'NOVIEMBRE-15'!G10+'DICIEMBRE-15'!G10</f>
        <v>1572.75</v>
      </c>
      <c r="F32" s="103">
        <f>+'ENERO-15'!H10+'FEBRERO-15'!H10+'MARZO-15'!H10+'ABRIL-15'!H10+'MAYO-15'!H10+'JUNIO-15'!H10+'JULIO-15'!H10+'AGOSTO-15'!H10+'SETIEMBRE-15'!H10+'OCTUBRE-15'!H10+'NOVIEMBRE-15'!H10+'DICIEMBRE-15'!H10</f>
        <v>0</v>
      </c>
      <c r="G32" s="103">
        <f>+'ENERO-15'!I10+'FEBRERO-15'!I10+'MARZO-15'!I10+'ABRIL-15'!I10+'MAYO-15'!I10+'JUNIO-15'!I10+'JULIO-15'!I10+'AGOSTO-15'!I10+'SETIEMBRE-15'!I10+'OCTUBRE-15'!I10+'NOVIEMBRE-15'!I10+'DICIEMBRE-15'!I10</f>
        <v>0</v>
      </c>
      <c r="H32" s="103">
        <f>+'ENERO-15'!J10+'FEBRERO-15'!J10+'MARZO-15'!J10+'ABRIL-15'!J10+'MAYO-15'!J10+'JUNIO-15'!J10+'JULIO-15'!J10+'AGOSTO-15'!J10+'SETIEMBRE-15'!J10+'OCTUBRE-15'!J10+'NOVIEMBRE-15'!J10+'DICIEMBRE-15'!J10</f>
        <v>4416.68</v>
      </c>
      <c r="I32" s="103">
        <f>+'ENERO-15'!K10+'FEBRERO-15'!K10+'MARZO-15'!K10+'ABRIL-15'!K10+'MAYO-15'!K10+'JUNIO-15'!K10+'JULIO-15'!K10+'AGOSTO-15'!K10+'SETIEMBRE-15'!K10+'OCTUBRE-15'!K10+'NOVIEMBRE-15'!K10+'DICIEMBRE-15'!K10</f>
        <v>2026</v>
      </c>
      <c r="J32" s="103">
        <f>+'ENERO-15'!L10+'FEBRERO-15'!L10+'MARZO-15'!L10+'ABRIL-15'!L10+'MAYO-15'!L10+'JUNIO-15'!L10+'JULIO-15'!L10+'AGOSTO-15'!L10+'SETIEMBRE-15'!L10+'OCTUBRE-15'!L10+'NOVIEMBRE-15'!L10+'DICIEMBRE-15'!L10</f>
        <v>0</v>
      </c>
      <c r="K32" s="103">
        <f>+'ENERO-15'!M10+'FEBRERO-15'!M10+'MARZO-15'!M10+'ABRIL-15'!M10+'MAYO-15'!M10+'JUNIO-15'!M10+'JULIO-15'!M10+'AGOSTO-15'!M10+'SETIEMBRE-15'!M10+'OCTUBRE-15'!M10+'NOVIEMBRE-15'!M10+'DICIEMBRE-15'!M10</f>
        <v>0</v>
      </c>
      <c r="L32" s="103">
        <f>+'ENERO-15'!N10+'FEBRERO-15'!N10+'MARZO-15'!N10+'ABRIL-15'!N10+'MAYO-15'!N10+'JUNIO-15'!N10+'JULIO-15'!N10+'AGOSTO-15'!N10+'SETIEMBRE-15'!N10+'OCTUBRE-15'!N10+'NOVIEMBRE-15'!N10+'DICIEMBRE-15'!N10</f>
        <v>0</v>
      </c>
      <c r="M32" s="103">
        <f>+'ENERO-15'!O10+'FEBRERO-15'!O10+'MARZO-15'!O10+'ABRIL-15'!O10+'MAYO-15'!O10+'JUNIO-15'!O10+'JULIO-15'!O10+'AGOSTO-15'!O10+'SETIEMBRE-15'!O10+'OCTUBRE-15'!O10+'NOVIEMBRE-15'!O10+'DICIEMBRE-15'!O10</f>
        <v>34700.720000000001</v>
      </c>
      <c r="N32" s="103">
        <f>+'ENERO-15'!P10+'FEBRERO-15'!P10+'MARZO-15'!P10+'ABRIL-15'!P10+'MAYO-15'!P10+'JUNIO-15'!P10+'JULIO-15'!P10+'AGOSTO-15'!P10+'SETIEMBRE-15'!P10+'OCTUBRE-15'!P10+'NOVIEMBRE-15'!P10+'DICIEMBRE-15'!P10</f>
        <v>30284.04</v>
      </c>
      <c r="O32" s="103">
        <f>+'ENERO-15'!Q10+'FEBRERO-15'!Q10+'MARZO-15'!Q10+'ABRIL-15'!Q10+'MAYO-15'!Q10+'JUNIO-15'!Q10+'JULIO-15'!Q10+'AGOSTO-15'!Q10+'SETIEMBRE-15'!Q10+'OCTUBRE-15'!Q10+'NOVIEMBRE-15'!Q10+'DICIEMBRE-15'!Q10</f>
        <v>2725.5636000000004</v>
      </c>
      <c r="P32" s="103">
        <f>+'ENERO-15'!R10+'FEBRERO-15'!R10+'MARZO-15'!R10+'ABRIL-15'!R10+'MAYO-15'!R10+'JUNIO-15'!R10+'JULIO-15'!R10+'AGOSTO-15'!R10+'SETIEMBRE-15'!R10+'OCTUBRE-15'!R10+'NOVIEMBRE-15'!R10+'DICIEMBRE-15'!R10</f>
        <v>0</v>
      </c>
      <c r="Q32" s="103">
        <f>+'ENERO-15'!S10+'FEBRERO-15'!S10+'MARZO-15'!S10+'ABRIL-15'!S10+'MAYO-15'!S10+'JUNIO-15'!S10+'JULIO-15'!S10+'AGOSTO-15'!S10+'SETIEMBRE-15'!S10+'OCTUBRE-15'!S10+'NOVIEMBRE-15'!S10+'DICIEMBRE-15'!S10</f>
        <v>2725.5636000000004</v>
      </c>
    </row>
    <row r="33" spans="1:17" s="112" customFormat="1" ht="15" customHeight="1" thickBot="1">
      <c r="A33" s="119" t="s">
        <v>82</v>
      </c>
      <c r="B33" s="120"/>
      <c r="C33" s="111">
        <f>SUM(C29:C32)</f>
        <v>86916</v>
      </c>
      <c r="D33" s="111">
        <f t="shared" ref="D33:Q33" si="29">SUM(D29:D32)</f>
        <v>16023.750000000002</v>
      </c>
      <c r="E33" s="111">
        <f t="shared" si="29"/>
        <v>8722.75</v>
      </c>
      <c r="F33" s="111">
        <f t="shared" si="29"/>
        <v>0</v>
      </c>
      <c r="G33" s="111">
        <f t="shared" si="29"/>
        <v>222.60000000000005</v>
      </c>
      <c r="H33" s="111">
        <f t="shared" si="29"/>
        <v>17345.88</v>
      </c>
      <c r="I33" s="111">
        <f t="shared" si="29"/>
        <v>8148.55</v>
      </c>
      <c r="J33" s="111">
        <f t="shared" si="29"/>
        <v>0</v>
      </c>
      <c r="K33" s="111">
        <f t="shared" si="29"/>
        <v>920</v>
      </c>
      <c r="L33" s="111">
        <f t="shared" si="29"/>
        <v>4481</v>
      </c>
      <c r="M33" s="111">
        <f t="shared" si="29"/>
        <v>142780.53</v>
      </c>
      <c r="N33" s="111">
        <f t="shared" si="29"/>
        <v>124514.65</v>
      </c>
      <c r="O33" s="111">
        <f t="shared" si="29"/>
        <v>11206.318500000001</v>
      </c>
      <c r="P33" s="111">
        <f t="shared" si="29"/>
        <v>0</v>
      </c>
      <c r="Q33" s="111">
        <f t="shared" si="29"/>
        <v>11206.318500000001</v>
      </c>
    </row>
    <row r="34" spans="1:17" s="106" customFormat="1" ht="15" customHeight="1" thickTop="1">
      <c r="A34" s="107"/>
      <c r="B34" s="108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</row>
    <row r="35" spans="1:17" s="106" customFormat="1" ht="15" customHeight="1">
      <c r="A35" s="118" t="s">
        <v>86</v>
      </c>
      <c r="B35" s="118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</row>
    <row r="36" spans="1:17" ht="15" customHeight="1">
      <c r="A36" s="100">
        <v>1</v>
      </c>
      <c r="B36" s="101" t="s">
        <v>35</v>
      </c>
      <c r="C36" s="103">
        <f>+'ENERO-15'!E11+'FEBRERO-15'!E11+'MARZO-15'!E11+'ABRIL-15'!E11+'MAYO-15'!E11+'JUNIO-15'!E11+'JULIO-15'!E11+'AGOSTO-15'!E11+'SETIEMBRE-15'!E11+'OCTUBRE-15'!E11+'NOVIEMBRE-15'!E11+'DICIEMBRE-15'!E11</f>
        <v>9050</v>
      </c>
      <c r="D36" s="103">
        <f>+'ENERO-15'!F11+'FEBRERO-15'!F11+'MARZO-15'!F11+'ABRIL-15'!F11+'MAYO-15'!F11+'JUNIO-15'!F11+'JULIO-15'!F11+'AGOSTO-15'!F11+'SETIEMBRE-15'!F11+'OCTUBRE-15'!F11+'NOVIEMBRE-15'!F11+'DICIEMBRE-15'!F11</f>
        <v>2600.25</v>
      </c>
      <c r="E36" s="103">
        <f>+'ENERO-15'!G11+'FEBRERO-15'!G11+'MARZO-15'!G11+'ABRIL-15'!G11+'MAYO-15'!G11+'JUNIO-15'!G11+'JULIO-15'!G11+'AGOSTO-15'!G11+'SETIEMBRE-15'!G11+'OCTUBRE-15'!G11+'NOVIEMBRE-15'!G11+'DICIEMBRE-15'!G11</f>
        <v>750</v>
      </c>
      <c r="F36" s="103">
        <f>+'ENERO-15'!H11+'FEBRERO-15'!H11+'MARZO-15'!H11+'ABRIL-15'!H11+'MAYO-15'!H11+'JUNIO-15'!H11+'JULIO-15'!H11+'AGOSTO-15'!H11+'SETIEMBRE-15'!H11+'OCTUBRE-15'!H11+'NOVIEMBRE-15'!H11+'DICIEMBRE-15'!H11</f>
        <v>0</v>
      </c>
      <c r="G36" s="103">
        <f>+'ENERO-15'!I11+'FEBRERO-15'!I11+'MARZO-15'!I11+'ABRIL-15'!I11+'MAYO-15'!I11+'JUNIO-15'!I11+'JULIO-15'!I11+'AGOSTO-15'!I11+'SETIEMBRE-15'!I11+'OCTUBRE-15'!I11+'NOVIEMBRE-15'!I11+'DICIEMBRE-15'!I11</f>
        <v>0</v>
      </c>
      <c r="H36" s="103">
        <f>+'ENERO-15'!J11+'FEBRERO-15'!J11+'MARZO-15'!J11+'ABRIL-15'!J11+'MAYO-15'!J11+'JUNIO-15'!J11+'JULIO-15'!J11+'AGOSTO-15'!J11+'SETIEMBRE-15'!J11+'OCTUBRE-15'!J11+'NOVIEMBRE-15'!J11+'DICIEMBRE-15'!J11</f>
        <v>1897.69</v>
      </c>
      <c r="I36" s="103">
        <f>+'ENERO-15'!K11+'FEBRERO-15'!K11+'MARZO-15'!K11+'ABRIL-15'!K11+'MAYO-15'!K11+'JUNIO-15'!K11+'JULIO-15'!K11+'AGOSTO-15'!K11+'SETIEMBRE-15'!K11+'OCTUBRE-15'!K11+'NOVIEMBRE-15'!K11+'DICIEMBRE-15'!K11</f>
        <v>1741</v>
      </c>
      <c r="J36" s="103">
        <f>+'ENERO-15'!L11+'FEBRERO-15'!L11+'MARZO-15'!L11+'ABRIL-15'!L11+'MAYO-15'!L11+'JUNIO-15'!L11+'JULIO-15'!L11+'AGOSTO-15'!L11+'SETIEMBRE-15'!L11+'OCTUBRE-15'!L11+'NOVIEMBRE-15'!L11+'DICIEMBRE-15'!L11</f>
        <v>0</v>
      </c>
      <c r="K36" s="103">
        <f>+'ENERO-15'!M11+'FEBRERO-15'!M11+'MARZO-15'!M11+'ABRIL-15'!M11+'MAYO-15'!M11+'JUNIO-15'!M11+'JULIO-15'!M11+'AGOSTO-15'!M11+'SETIEMBRE-15'!M11+'OCTUBRE-15'!M11+'NOVIEMBRE-15'!M11+'DICIEMBRE-15'!M11</f>
        <v>58.8</v>
      </c>
      <c r="L36" s="103">
        <f>+'ENERO-15'!N11+'FEBRERO-15'!N11+'MARZO-15'!N11+'ABRIL-15'!N11+'MAYO-15'!N11+'JUNIO-15'!N11+'JULIO-15'!N11+'AGOSTO-15'!N11+'SETIEMBRE-15'!N11+'OCTUBRE-15'!N11+'NOVIEMBRE-15'!N11+'DICIEMBRE-15'!N11</f>
        <v>7153.4</v>
      </c>
      <c r="M36" s="103">
        <f>+'ENERO-15'!O11+'FEBRERO-15'!O11+'MARZO-15'!O11+'ABRIL-15'!O11+'MAYO-15'!O11+'JUNIO-15'!O11+'JULIO-15'!O11+'AGOSTO-15'!O11+'SETIEMBRE-15'!O11+'OCTUBRE-15'!O11+'NOVIEMBRE-15'!O11+'DICIEMBRE-15'!O11</f>
        <v>23251.14</v>
      </c>
      <c r="N36" s="103">
        <f>+'ENERO-15'!P11+'FEBRERO-15'!P11+'MARZO-15'!P11+'ABRIL-15'!P11+'MAYO-15'!P11+'JUNIO-15'!P11+'JULIO-15'!P11+'AGOSTO-15'!P11+'SETIEMBRE-15'!P11+'OCTUBRE-15'!P11+'NOVIEMBRE-15'!P11+'DICIEMBRE-15'!P11</f>
        <v>21294.65</v>
      </c>
      <c r="O36" s="103">
        <f>+'ENERO-15'!Q11+'FEBRERO-15'!Q11+'MARZO-15'!Q11+'ABRIL-15'!Q11+'MAYO-15'!Q11+'JUNIO-15'!Q11+'JULIO-15'!Q11+'AGOSTO-15'!Q11+'SETIEMBRE-15'!Q11+'OCTUBRE-15'!Q11+'NOVIEMBRE-15'!Q11+'DICIEMBRE-15'!Q11</f>
        <v>1916.5184999999997</v>
      </c>
      <c r="P36" s="103">
        <f>+'ENERO-15'!R11+'FEBRERO-15'!R11+'MARZO-15'!R11+'ABRIL-15'!R11+'MAYO-15'!R11+'JUNIO-15'!R11+'JULIO-15'!R11+'AGOSTO-15'!R11+'SETIEMBRE-15'!R11+'OCTUBRE-15'!R11+'NOVIEMBRE-15'!R11+'DICIEMBRE-15'!R11</f>
        <v>0</v>
      </c>
      <c r="Q36" s="103">
        <f>+'ENERO-15'!S11+'FEBRERO-15'!S11+'MARZO-15'!S11+'ABRIL-15'!S11+'MAYO-15'!S11+'JUNIO-15'!S11+'JULIO-15'!S11+'AGOSTO-15'!S11+'SETIEMBRE-15'!S11+'OCTUBRE-15'!S11+'NOVIEMBRE-15'!S11+'DICIEMBRE-15'!S11</f>
        <v>1916.5184999999997</v>
      </c>
    </row>
    <row r="37" spans="1:17" ht="15" customHeight="1">
      <c r="A37" s="100">
        <v>2</v>
      </c>
      <c r="B37" s="101" t="s">
        <v>48</v>
      </c>
      <c r="C37" s="103">
        <f>+'ENERO-15'!E12+'FEBRERO-15'!E12+'MARZO-15'!E12+'ABRIL-15'!E12+'MAYO-15'!E12+'JUNIO-15'!E12+'JULIO-15'!E12+'AGOSTO-15'!E12+'SETIEMBRE-15'!E12+'OCTUBRE-15'!E12+'NOVIEMBRE-15'!E12+'DICIEMBRE-15'!E12</f>
        <v>9680</v>
      </c>
      <c r="D37" s="103">
        <f>+'ENERO-15'!F12+'FEBRERO-15'!F12+'MARZO-15'!F12+'ABRIL-15'!F12+'MAYO-15'!F12+'JUNIO-15'!F12+'JULIO-15'!F12+'AGOSTO-15'!F12+'SETIEMBRE-15'!F12+'OCTUBRE-15'!F12+'NOVIEMBRE-15'!F12+'DICIEMBRE-15'!F12</f>
        <v>1704</v>
      </c>
      <c r="E37" s="103">
        <f>+'ENERO-15'!G12+'FEBRERO-15'!G12+'MARZO-15'!G12+'ABRIL-15'!G12+'MAYO-15'!G12+'JUNIO-15'!G12+'JULIO-15'!G12+'AGOSTO-15'!G12+'SETIEMBRE-15'!G12+'OCTUBRE-15'!G12+'NOVIEMBRE-15'!G12+'DICIEMBRE-15'!G12</f>
        <v>0</v>
      </c>
      <c r="F37" s="103">
        <f>+'ENERO-15'!H12+'FEBRERO-15'!H12+'MARZO-15'!H12+'ABRIL-15'!H12+'MAYO-15'!H12+'JUNIO-15'!H12+'JULIO-15'!H12+'AGOSTO-15'!H12+'SETIEMBRE-15'!H12+'OCTUBRE-15'!H12+'NOVIEMBRE-15'!H12+'DICIEMBRE-15'!H12</f>
        <v>0</v>
      </c>
      <c r="G37" s="103">
        <f>+'ENERO-15'!I12+'FEBRERO-15'!I12+'MARZO-15'!I12+'ABRIL-15'!I12+'MAYO-15'!I12+'JUNIO-15'!I12+'JULIO-15'!I12+'AGOSTO-15'!I12+'SETIEMBRE-15'!I12+'OCTUBRE-15'!I12+'NOVIEMBRE-15'!I12+'DICIEMBRE-15'!I12</f>
        <v>0</v>
      </c>
      <c r="H37" s="103">
        <f>+'ENERO-15'!J12+'FEBRERO-15'!J12+'MARZO-15'!J12+'ABRIL-15'!J12+'MAYO-15'!J12+'JUNIO-15'!J12+'JULIO-15'!J12+'AGOSTO-15'!J12+'SETIEMBRE-15'!J12+'OCTUBRE-15'!J12+'NOVIEMBRE-15'!J12+'DICIEMBRE-15'!J12</f>
        <v>3621.79</v>
      </c>
      <c r="I37" s="103">
        <f>+'ENERO-15'!K12+'FEBRERO-15'!K12+'MARZO-15'!K12+'ABRIL-15'!K12+'MAYO-15'!K12+'JUNIO-15'!K12+'JULIO-15'!K12+'AGOSTO-15'!K12+'SETIEMBRE-15'!K12+'OCTUBRE-15'!K12+'NOVIEMBRE-15'!K12+'DICIEMBRE-15'!K12</f>
        <v>1666</v>
      </c>
      <c r="J37" s="103">
        <f>+'ENERO-15'!L12+'FEBRERO-15'!L12+'MARZO-15'!L12+'ABRIL-15'!L12+'MAYO-15'!L12+'JUNIO-15'!L12+'JULIO-15'!L12+'AGOSTO-15'!L12+'SETIEMBRE-15'!L12+'OCTUBRE-15'!L12+'NOVIEMBRE-15'!L12+'DICIEMBRE-15'!L12</f>
        <v>0</v>
      </c>
      <c r="K37" s="103">
        <f>+'ENERO-15'!M12+'FEBRERO-15'!M12+'MARZO-15'!M12+'ABRIL-15'!M12+'MAYO-15'!M12+'JUNIO-15'!M12+'JULIO-15'!M12+'AGOSTO-15'!M12+'SETIEMBRE-15'!M12+'OCTUBRE-15'!M12+'NOVIEMBRE-15'!M12+'DICIEMBRE-15'!M12</f>
        <v>56</v>
      </c>
      <c r="L37" s="103">
        <f>+'ENERO-15'!N12+'FEBRERO-15'!N12+'MARZO-15'!N12+'ABRIL-15'!N12+'MAYO-15'!N12+'JUNIO-15'!N12+'JULIO-15'!N12+'AGOSTO-15'!N12+'SETIEMBRE-15'!N12+'OCTUBRE-15'!N12+'NOVIEMBRE-15'!N12+'DICIEMBRE-15'!N12</f>
        <v>8646</v>
      </c>
      <c r="M37" s="103">
        <f>+'ENERO-15'!O12+'FEBRERO-15'!O12+'MARZO-15'!O12+'ABRIL-15'!O12+'MAYO-15'!O12+'JUNIO-15'!O12+'JULIO-15'!O12+'AGOSTO-15'!O12+'SETIEMBRE-15'!O12+'OCTUBRE-15'!O12+'NOVIEMBRE-15'!O12+'DICIEMBRE-15'!O12</f>
        <v>25373.789999999997</v>
      </c>
      <c r="N37" s="103">
        <f>+'ENERO-15'!P12+'FEBRERO-15'!P12+'MARZO-15'!P12+'ABRIL-15'!P12+'MAYO-15'!P12+'JUNIO-15'!P12+'JULIO-15'!P12+'AGOSTO-15'!P12+'SETIEMBRE-15'!P12+'OCTUBRE-15'!P12+'NOVIEMBRE-15'!P12+'DICIEMBRE-15'!P12</f>
        <v>21696</v>
      </c>
      <c r="O37" s="103">
        <f>+'ENERO-15'!Q12+'FEBRERO-15'!Q12+'MARZO-15'!Q12+'ABRIL-15'!Q12+'MAYO-15'!Q12+'JUNIO-15'!Q12+'JULIO-15'!Q12+'AGOSTO-15'!Q12+'SETIEMBRE-15'!Q12+'OCTUBRE-15'!Q12+'NOVIEMBRE-15'!Q12+'DICIEMBRE-15'!Q12</f>
        <v>1952.6399999999999</v>
      </c>
      <c r="P37" s="103">
        <f>+'ENERO-15'!R12+'FEBRERO-15'!R12+'MARZO-15'!R12+'ABRIL-15'!R12+'MAYO-15'!R12+'JUNIO-15'!R12+'JULIO-15'!R12+'AGOSTO-15'!R12+'SETIEMBRE-15'!R12+'OCTUBRE-15'!R12+'NOVIEMBRE-15'!R12+'DICIEMBRE-15'!R12</f>
        <v>0</v>
      </c>
      <c r="Q37" s="103">
        <f>+'ENERO-15'!S12+'FEBRERO-15'!S12+'MARZO-15'!S12+'ABRIL-15'!S12+'MAYO-15'!S12+'JUNIO-15'!S12+'JULIO-15'!S12+'AGOSTO-15'!S12+'SETIEMBRE-15'!S12+'OCTUBRE-15'!S12+'NOVIEMBRE-15'!S12+'DICIEMBRE-15'!S12</f>
        <v>1952.6399999999999</v>
      </c>
    </row>
    <row r="38" spans="1:17" ht="15" customHeight="1">
      <c r="A38" s="100">
        <v>3</v>
      </c>
      <c r="B38" s="101" t="s">
        <v>49</v>
      </c>
      <c r="C38" s="103">
        <f>+'ENERO-15'!E13+'FEBRERO-15'!E13+'MARZO-15'!E13+'ABRIL-15'!E13+'MAYO-15'!E13+'JUNIO-15'!E13+'JULIO-15'!E13+'AGOSTO-15'!E13+'SETIEMBRE-15'!E13+'OCTUBRE-15'!E13+'NOVIEMBRE-15'!E13+'DICIEMBRE-15'!E13</f>
        <v>9955</v>
      </c>
      <c r="D38" s="103">
        <f>+'ENERO-15'!F13+'FEBRERO-15'!F13+'MARZO-15'!F13+'ABRIL-15'!F13+'MAYO-15'!F13+'JUNIO-15'!F13+'JULIO-15'!F13+'AGOSTO-15'!F13+'SETIEMBRE-15'!F13+'OCTUBRE-15'!F13+'NOVIEMBRE-15'!F13+'DICIEMBRE-15'!F13</f>
        <v>1931.16</v>
      </c>
      <c r="E38" s="103">
        <f>+'ENERO-15'!G13+'FEBRERO-15'!G13+'MARZO-15'!G13+'ABRIL-15'!G13+'MAYO-15'!G13+'JUNIO-15'!G13+'JULIO-15'!G13+'AGOSTO-15'!G13+'SETIEMBRE-15'!G13+'OCTUBRE-15'!G13+'NOVIEMBRE-15'!G13+'DICIEMBRE-15'!G13</f>
        <v>0</v>
      </c>
      <c r="F38" s="103">
        <f>+'ENERO-15'!H13+'FEBRERO-15'!H13+'MARZO-15'!H13+'ABRIL-15'!H13+'MAYO-15'!H13+'JUNIO-15'!H13+'JULIO-15'!H13+'AGOSTO-15'!H13+'SETIEMBRE-15'!H13+'OCTUBRE-15'!H13+'NOVIEMBRE-15'!H13+'DICIEMBRE-15'!H13</f>
        <v>0</v>
      </c>
      <c r="G38" s="103">
        <f>+'ENERO-15'!I13+'FEBRERO-15'!I13+'MARZO-15'!I13+'ABRIL-15'!I13+'MAYO-15'!I13+'JUNIO-15'!I13+'JULIO-15'!I13+'AGOSTO-15'!I13+'SETIEMBRE-15'!I13+'OCTUBRE-15'!I13+'NOVIEMBRE-15'!I13+'DICIEMBRE-15'!I13</f>
        <v>0</v>
      </c>
      <c r="H38" s="103">
        <f>+'ENERO-15'!J13+'FEBRERO-15'!J13+'MARZO-15'!J13+'ABRIL-15'!J13+'MAYO-15'!J13+'JUNIO-15'!J13+'JULIO-15'!J13+'AGOSTO-15'!J13+'SETIEMBRE-15'!J13+'OCTUBRE-15'!J13+'NOVIEMBRE-15'!J13+'DICIEMBRE-15'!J13</f>
        <v>3631.88</v>
      </c>
      <c r="I38" s="103">
        <f>+'ENERO-15'!K13+'FEBRERO-15'!K13+'MARZO-15'!K13+'ABRIL-15'!K13+'MAYO-15'!K13+'JUNIO-15'!K13+'JULIO-15'!K13+'AGOSTO-15'!K13+'SETIEMBRE-15'!K13+'OCTUBRE-15'!K13+'NOVIEMBRE-15'!K13+'DICIEMBRE-15'!K13</f>
        <v>1666</v>
      </c>
      <c r="J38" s="103">
        <f>+'ENERO-15'!L13+'FEBRERO-15'!L13+'MARZO-15'!L13+'ABRIL-15'!L13+'MAYO-15'!L13+'JUNIO-15'!L13+'JULIO-15'!L13+'AGOSTO-15'!L13+'SETIEMBRE-15'!L13+'OCTUBRE-15'!L13+'NOVIEMBRE-15'!L13+'DICIEMBRE-15'!L13</f>
        <v>0</v>
      </c>
      <c r="K38" s="103">
        <f>+'ENERO-15'!M13+'FEBRERO-15'!M13+'MARZO-15'!M13+'ABRIL-15'!M13+'MAYO-15'!M13+'JUNIO-15'!M13+'JULIO-15'!M13+'AGOSTO-15'!M13+'SETIEMBRE-15'!M13+'OCTUBRE-15'!M13+'NOVIEMBRE-15'!M13+'DICIEMBRE-15'!M13</f>
        <v>92</v>
      </c>
      <c r="L38" s="103">
        <f>+'ENERO-15'!N13+'FEBRERO-15'!N13+'MARZO-15'!N13+'ABRIL-15'!N13+'MAYO-15'!N13+'JUNIO-15'!N13+'JULIO-15'!N13+'AGOSTO-15'!N13+'SETIEMBRE-15'!N13+'OCTUBRE-15'!N13+'NOVIEMBRE-15'!N13+'DICIEMBRE-15'!N13</f>
        <v>8371</v>
      </c>
      <c r="M38" s="103">
        <f>+'ENERO-15'!O13+'FEBRERO-15'!O13+'MARZO-15'!O13+'ABRIL-15'!O13+'MAYO-15'!O13+'JUNIO-15'!O13+'JULIO-15'!O13+'AGOSTO-15'!O13+'SETIEMBRE-15'!O13+'OCTUBRE-15'!O13+'NOVIEMBRE-15'!O13+'DICIEMBRE-15'!O13</f>
        <v>25647.040000000001</v>
      </c>
      <c r="N38" s="103">
        <f>+'ENERO-15'!P13+'FEBRERO-15'!P13+'MARZO-15'!P13+'ABRIL-15'!P13+'MAYO-15'!P13+'JUNIO-15'!P13+'JULIO-15'!P13+'AGOSTO-15'!P13+'SETIEMBRE-15'!P13+'OCTUBRE-15'!P13+'NOVIEMBRE-15'!P13+'DICIEMBRE-15'!P13</f>
        <v>21923.159999999996</v>
      </c>
      <c r="O38" s="103">
        <f>+'ENERO-15'!Q13+'FEBRERO-15'!Q13+'MARZO-15'!Q13+'ABRIL-15'!Q13+'MAYO-15'!Q13+'JUNIO-15'!Q13+'JULIO-15'!Q13+'AGOSTO-15'!Q13+'SETIEMBRE-15'!Q13+'OCTUBRE-15'!Q13+'NOVIEMBRE-15'!Q13+'DICIEMBRE-15'!Q13</f>
        <v>1973.0844000000002</v>
      </c>
      <c r="P38" s="103">
        <f>+'ENERO-15'!R13+'FEBRERO-15'!R13+'MARZO-15'!R13+'ABRIL-15'!R13+'MAYO-15'!R13+'JUNIO-15'!R13+'JULIO-15'!R13+'AGOSTO-15'!R13+'SETIEMBRE-15'!R13+'OCTUBRE-15'!R13+'NOVIEMBRE-15'!R13+'DICIEMBRE-15'!R13</f>
        <v>0</v>
      </c>
      <c r="Q38" s="103">
        <f>+'ENERO-15'!S13+'FEBRERO-15'!S13+'MARZO-15'!S13+'ABRIL-15'!S13+'MAYO-15'!S13+'JUNIO-15'!S13+'JULIO-15'!S13+'AGOSTO-15'!S13+'SETIEMBRE-15'!S13+'OCTUBRE-15'!S13+'NOVIEMBRE-15'!S13+'DICIEMBRE-15'!S13</f>
        <v>1973.0844000000002</v>
      </c>
    </row>
    <row r="39" spans="1:17" s="112" customFormat="1" ht="15" customHeight="1" thickBot="1">
      <c r="A39" s="119" t="s">
        <v>82</v>
      </c>
      <c r="B39" s="120"/>
      <c r="C39" s="111">
        <f>SUM(C36:C38)</f>
        <v>28685</v>
      </c>
      <c r="D39" s="111">
        <f t="shared" ref="D39:Q39" si="30">SUM(D36:D38)</f>
        <v>6235.41</v>
      </c>
      <c r="E39" s="111">
        <f t="shared" si="30"/>
        <v>750</v>
      </c>
      <c r="F39" s="111">
        <f t="shared" si="30"/>
        <v>0</v>
      </c>
      <c r="G39" s="111">
        <f t="shared" si="30"/>
        <v>0</v>
      </c>
      <c r="H39" s="111">
        <f t="shared" si="30"/>
        <v>9151.36</v>
      </c>
      <c r="I39" s="111">
        <f t="shared" si="30"/>
        <v>5073</v>
      </c>
      <c r="J39" s="111">
        <f t="shared" si="30"/>
        <v>0</v>
      </c>
      <c r="K39" s="111">
        <f t="shared" si="30"/>
        <v>206.8</v>
      </c>
      <c r="L39" s="111">
        <f t="shared" si="30"/>
        <v>24170.400000000001</v>
      </c>
      <c r="M39" s="111">
        <f t="shared" si="30"/>
        <v>74271.97</v>
      </c>
      <c r="N39" s="111">
        <f t="shared" si="30"/>
        <v>64913.81</v>
      </c>
      <c r="O39" s="111">
        <f t="shared" si="30"/>
        <v>5842.2428999999993</v>
      </c>
      <c r="P39" s="111">
        <f t="shared" si="30"/>
        <v>0</v>
      </c>
      <c r="Q39" s="111">
        <f t="shared" si="30"/>
        <v>5842.2428999999993</v>
      </c>
    </row>
    <row r="40" spans="1:17" s="106" customFormat="1" ht="15" customHeight="1" thickTop="1">
      <c r="A40" s="107"/>
      <c r="B40" s="108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</row>
    <row r="41" spans="1:17" s="106" customFormat="1" ht="15" customHeight="1">
      <c r="A41" s="123" t="s">
        <v>88</v>
      </c>
      <c r="B41" s="123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</row>
    <row r="42" spans="1:17" s="106" customFormat="1" ht="15" customHeight="1">
      <c r="A42" s="118" t="s">
        <v>83</v>
      </c>
      <c r="B42" s="118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</row>
    <row r="43" spans="1:17" ht="15" customHeight="1">
      <c r="A43" s="100">
        <v>1</v>
      </c>
      <c r="B43" s="101" t="s">
        <v>52</v>
      </c>
      <c r="C43" s="103">
        <f>+'ENERO-15'!E18+'FEBRERO-15'!E18+'MARZO-15'!E18+'ABRIL-15'!E18+'MAYO-15'!E18+'JUNIO-15'!E18+'JULIO-15'!E18+'AGOSTO-15'!E18+'SETIEMBRE-15'!E18+'OCTUBRE-15'!E18+'NOVIEMBRE-15'!E18+'DICIEMBRE-15'!E18</f>
        <v>25452</v>
      </c>
      <c r="D43" s="103">
        <f>+'ENERO-15'!F18+'FEBRERO-15'!F18+'MARZO-15'!F18+'ABRIL-15'!F18+'MAYO-15'!F18+'JUNIO-15'!F18+'JULIO-15'!F18+'AGOSTO-15'!F18+'SETIEMBRE-15'!F18+'OCTUBRE-15'!F18+'NOVIEMBRE-15'!F18+'DICIEMBRE-15'!F18</f>
        <v>1084</v>
      </c>
      <c r="E43" s="103">
        <f>+'ENERO-15'!G18+'FEBRERO-15'!G18+'MARZO-15'!G18+'ABRIL-15'!G18+'MAYO-15'!G18+'JUNIO-15'!G18+'JULIO-15'!G18+'AGOSTO-15'!G18+'SETIEMBRE-15'!G18+'OCTUBRE-15'!G18+'NOVIEMBRE-15'!G18+'DICIEMBRE-15'!G18</f>
        <v>0</v>
      </c>
      <c r="F43" s="103">
        <f>+'ENERO-15'!H18+'FEBRERO-15'!H18+'MARZO-15'!H18+'ABRIL-15'!H18+'MAYO-15'!H18+'JUNIO-15'!H18+'JULIO-15'!H18+'AGOSTO-15'!H18+'SETIEMBRE-15'!H18+'OCTUBRE-15'!H18+'NOVIEMBRE-15'!H18+'DICIEMBRE-15'!H18</f>
        <v>0</v>
      </c>
      <c r="G43" s="103">
        <f>+'ENERO-15'!I18+'FEBRERO-15'!I18+'MARZO-15'!I18+'ABRIL-15'!I18+'MAYO-15'!I18+'JUNIO-15'!I18+'JULIO-15'!I18+'AGOSTO-15'!I18+'SETIEMBRE-15'!I18+'OCTUBRE-15'!I18+'NOVIEMBRE-15'!I18+'DICIEMBRE-15'!I18</f>
        <v>0</v>
      </c>
      <c r="H43" s="103">
        <f>+'ENERO-15'!J18+'FEBRERO-15'!J18+'MARZO-15'!J18+'ABRIL-15'!J18+'MAYO-15'!J18+'JUNIO-15'!J18+'JULIO-15'!J18+'AGOSTO-15'!J18+'SETIEMBRE-15'!J18+'OCTUBRE-15'!J18+'NOVIEMBRE-15'!J18+'DICIEMBRE-15'!J18</f>
        <v>4623.78</v>
      </c>
      <c r="I43" s="103">
        <f>+'ENERO-15'!K18+'FEBRERO-15'!K18+'MARZO-15'!K18+'ABRIL-15'!K18+'MAYO-15'!K18+'JUNIO-15'!K18+'JULIO-15'!K18+'AGOSTO-15'!K18+'SETIEMBRE-15'!K18+'OCTUBRE-15'!K18+'NOVIEMBRE-15'!K18+'DICIEMBRE-15'!K18</f>
        <v>2121</v>
      </c>
      <c r="J43" s="103">
        <f>+'ENERO-15'!L18+'FEBRERO-15'!L18+'MARZO-15'!L18+'ABRIL-15'!L18+'MAYO-15'!L18+'JUNIO-15'!L18+'JULIO-15'!L18+'AGOSTO-15'!L18+'SETIEMBRE-15'!L18+'OCTUBRE-15'!L18+'NOVIEMBRE-15'!L18+'DICIEMBRE-15'!L18</f>
        <v>0</v>
      </c>
      <c r="K43" s="103">
        <f>+'ENERO-15'!M18+'FEBRERO-15'!M18+'MARZO-15'!M18+'ABRIL-15'!M18+'MAYO-15'!M18+'JUNIO-15'!M18+'JULIO-15'!M18+'AGOSTO-15'!M18+'SETIEMBRE-15'!M18+'OCTUBRE-15'!M18+'NOVIEMBRE-15'!M18+'DICIEMBRE-15'!M18</f>
        <v>0</v>
      </c>
      <c r="L43" s="103">
        <f>+'ENERO-15'!N18+'FEBRERO-15'!N18+'MARZO-15'!N18+'ABRIL-15'!N18+'MAYO-15'!N18+'JUNIO-15'!N18+'JULIO-15'!N18+'AGOSTO-15'!N18+'SETIEMBRE-15'!N18+'OCTUBRE-15'!N18+'NOVIEMBRE-15'!N18+'DICIEMBRE-15'!N18</f>
        <v>0</v>
      </c>
      <c r="M43" s="103">
        <f>+'ENERO-15'!O18+'FEBRERO-15'!O18+'MARZO-15'!O18+'ABRIL-15'!O18+'MAYO-15'!O18+'JUNIO-15'!O18+'JULIO-15'!O18+'AGOSTO-15'!O18+'SETIEMBRE-15'!O18+'OCTUBRE-15'!O18+'NOVIEMBRE-15'!O18+'DICIEMBRE-15'!O18</f>
        <v>33280.78</v>
      </c>
      <c r="N43" s="103">
        <f>+'ENERO-15'!P18+'FEBRERO-15'!P18+'MARZO-15'!P18+'ABRIL-15'!P18+'MAYO-15'!P18+'JUNIO-15'!P18+'JULIO-15'!P18+'AGOSTO-15'!P18+'SETIEMBRE-15'!P18+'OCTUBRE-15'!P18+'NOVIEMBRE-15'!P18+'DICIEMBRE-15'!P18</f>
        <v>28657</v>
      </c>
      <c r="O43" s="103">
        <f>+'ENERO-15'!Q18+'FEBRERO-15'!Q18+'MARZO-15'!Q18+'ABRIL-15'!Q18+'MAYO-15'!Q18+'JUNIO-15'!Q18+'JULIO-15'!Q18+'AGOSTO-15'!Q18+'SETIEMBRE-15'!Q18+'OCTUBRE-15'!Q18+'NOVIEMBRE-15'!Q18+'DICIEMBRE-15'!Q18</f>
        <v>2579.1299999999997</v>
      </c>
      <c r="P43" s="103">
        <f>+'ENERO-15'!R18+'FEBRERO-15'!R18+'MARZO-15'!R18+'ABRIL-15'!R18+'MAYO-15'!R18+'JUNIO-15'!R18+'JULIO-15'!R18+'AGOSTO-15'!R18+'SETIEMBRE-15'!R18+'OCTUBRE-15'!R18+'NOVIEMBRE-15'!R18+'DICIEMBRE-15'!R18</f>
        <v>0</v>
      </c>
      <c r="Q43" s="103">
        <f>+'ENERO-15'!S18+'FEBRERO-15'!S18+'MARZO-15'!S18+'ABRIL-15'!S18+'MAYO-15'!S18+'JUNIO-15'!S18+'JULIO-15'!S18+'AGOSTO-15'!S18+'SETIEMBRE-15'!S18+'OCTUBRE-15'!S18+'NOVIEMBRE-15'!S18+'DICIEMBRE-15'!S18</f>
        <v>2579.1299999999997</v>
      </c>
    </row>
    <row r="44" spans="1:17" s="112" customFormat="1" ht="15" customHeight="1" thickBot="1">
      <c r="A44" s="119" t="s">
        <v>82</v>
      </c>
      <c r="B44" s="120"/>
      <c r="C44" s="111">
        <f>SUM(C43)</f>
        <v>25452</v>
      </c>
      <c r="D44" s="111">
        <f t="shared" ref="D44:Q44" si="31">SUM(D43)</f>
        <v>1084</v>
      </c>
      <c r="E44" s="111">
        <f t="shared" si="31"/>
        <v>0</v>
      </c>
      <c r="F44" s="111">
        <f t="shared" si="31"/>
        <v>0</v>
      </c>
      <c r="G44" s="111">
        <f t="shared" si="31"/>
        <v>0</v>
      </c>
      <c r="H44" s="111">
        <f t="shared" si="31"/>
        <v>4623.78</v>
      </c>
      <c r="I44" s="111">
        <f t="shared" si="31"/>
        <v>2121</v>
      </c>
      <c r="J44" s="111">
        <f t="shared" si="31"/>
        <v>0</v>
      </c>
      <c r="K44" s="111">
        <f t="shared" si="31"/>
        <v>0</v>
      </c>
      <c r="L44" s="111">
        <f t="shared" si="31"/>
        <v>0</v>
      </c>
      <c r="M44" s="111">
        <f t="shared" si="31"/>
        <v>33280.78</v>
      </c>
      <c r="N44" s="111">
        <f t="shared" si="31"/>
        <v>28657</v>
      </c>
      <c r="O44" s="111">
        <f t="shared" si="31"/>
        <v>2579.1299999999997</v>
      </c>
      <c r="P44" s="111">
        <f t="shared" si="31"/>
        <v>0</v>
      </c>
      <c r="Q44" s="111">
        <f t="shared" si="31"/>
        <v>2579.1299999999997</v>
      </c>
    </row>
    <row r="45" spans="1:17" s="106" customFormat="1" ht="15" customHeight="1" thickTop="1">
      <c r="A45" s="113"/>
      <c r="B45" s="113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</row>
    <row r="46" spans="1:17" s="106" customFormat="1" ht="15" customHeight="1">
      <c r="A46" s="118" t="s">
        <v>87</v>
      </c>
      <c r="B46" s="118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</row>
    <row r="47" spans="1:17" ht="15" customHeight="1">
      <c r="A47" s="100">
        <v>1</v>
      </c>
      <c r="B47" s="101" t="s">
        <v>38</v>
      </c>
      <c r="C47" s="103">
        <f>+'ENERO-15'!E14+'FEBRERO-15'!E14+'MARZO-15'!E14+'ABRIL-15'!E14+'MAYO-15'!E14+'JUNIO-15'!E14+'JULIO-15'!E14+'AGOSTO-15'!E14+'SETIEMBRE-15'!E14+'OCTUBRE-15'!E14+'NOVIEMBRE-15'!E14+'DICIEMBRE-15'!E14</f>
        <v>11140.8</v>
      </c>
      <c r="D47" s="103">
        <f>+'ENERO-15'!F14+'FEBRERO-15'!F14+'MARZO-15'!F14+'ABRIL-15'!F14+'MAYO-15'!F14+'JUNIO-15'!F14+'JULIO-15'!F14+'AGOSTO-15'!F14+'SETIEMBRE-15'!F14+'OCTUBRE-15'!F14+'NOVIEMBRE-15'!F14+'DICIEMBRE-15'!F14</f>
        <v>500</v>
      </c>
      <c r="E47" s="103">
        <f>+'ENERO-15'!G14+'FEBRERO-15'!G14+'MARZO-15'!G14+'ABRIL-15'!G14+'MAYO-15'!G14+'JUNIO-15'!G14+'JULIO-15'!G14+'AGOSTO-15'!G14+'SETIEMBRE-15'!G14+'OCTUBRE-15'!G14+'NOVIEMBRE-15'!G14+'DICIEMBRE-15'!G14</f>
        <v>0</v>
      </c>
      <c r="F47" s="103">
        <f>+'ENERO-15'!H14+'FEBRERO-15'!H14+'MARZO-15'!H14+'ABRIL-15'!H14+'MAYO-15'!H14+'JUNIO-15'!H14+'JULIO-15'!H14+'AGOSTO-15'!H14+'SETIEMBRE-15'!H14+'OCTUBRE-15'!H14+'NOVIEMBRE-15'!H14+'DICIEMBRE-15'!H14</f>
        <v>0</v>
      </c>
      <c r="G47" s="103">
        <f>+'ENERO-15'!I14+'FEBRERO-15'!I14+'MARZO-15'!I14+'ABRIL-15'!I14+'MAYO-15'!I14+'JUNIO-15'!I14+'JULIO-15'!I14+'AGOSTO-15'!I14+'SETIEMBRE-15'!I14+'OCTUBRE-15'!I14+'NOVIEMBRE-15'!I14+'DICIEMBRE-15'!I14</f>
        <v>0</v>
      </c>
      <c r="H47" s="103">
        <f>+'ENERO-15'!J14+'FEBRERO-15'!J14+'MARZO-15'!J14+'ABRIL-15'!J14+'MAYO-15'!J14+'JUNIO-15'!J14+'JULIO-15'!J14+'AGOSTO-15'!J14+'SETIEMBRE-15'!J14+'OCTUBRE-15'!J14+'NOVIEMBRE-15'!J14+'DICIEMBRE-15'!J14</f>
        <v>0</v>
      </c>
      <c r="I47" s="103">
        <f>+'ENERO-15'!K14+'FEBRERO-15'!K14+'MARZO-15'!K14+'ABRIL-15'!K14+'MAYO-15'!K14+'JUNIO-15'!K14+'JULIO-15'!K14+'AGOSTO-15'!K14+'SETIEMBRE-15'!K14+'OCTUBRE-15'!K14+'NOVIEMBRE-15'!K14+'DICIEMBRE-15'!K14</f>
        <v>0</v>
      </c>
      <c r="J47" s="103">
        <f>+'ENERO-15'!L14+'FEBRERO-15'!L14+'MARZO-15'!L14+'ABRIL-15'!L14+'MAYO-15'!L14+'JUNIO-15'!L14+'JULIO-15'!L14+'AGOSTO-15'!L14+'SETIEMBRE-15'!L14+'OCTUBRE-15'!L14+'NOVIEMBRE-15'!L14+'DICIEMBRE-15'!L14</f>
        <v>0</v>
      </c>
      <c r="K47" s="103">
        <f>+'ENERO-15'!M14+'FEBRERO-15'!M14+'MARZO-15'!M14+'ABRIL-15'!M14+'MAYO-15'!M14+'JUNIO-15'!M14+'JULIO-15'!M14+'AGOSTO-15'!M14+'SETIEMBRE-15'!M14+'OCTUBRE-15'!M14+'NOVIEMBRE-15'!M14+'DICIEMBRE-15'!M14</f>
        <v>0</v>
      </c>
      <c r="L47" s="103">
        <f>+'ENERO-15'!N14+'FEBRERO-15'!N14+'MARZO-15'!N14+'ABRIL-15'!N14+'MAYO-15'!N14+'JUNIO-15'!N14+'JULIO-15'!N14+'AGOSTO-15'!N14+'SETIEMBRE-15'!N14+'OCTUBRE-15'!N14+'NOVIEMBRE-15'!N14+'DICIEMBRE-15'!N14</f>
        <v>0</v>
      </c>
      <c r="M47" s="103">
        <f>+'ENERO-15'!O14+'FEBRERO-15'!O14+'MARZO-15'!O14+'ABRIL-15'!O14+'MAYO-15'!O14+'JUNIO-15'!O14+'JULIO-15'!O14+'AGOSTO-15'!O14+'SETIEMBRE-15'!O14+'OCTUBRE-15'!O14+'NOVIEMBRE-15'!O14+'DICIEMBRE-15'!O14</f>
        <v>11640.8</v>
      </c>
      <c r="N47" s="103">
        <f>+'ENERO-15'!P14+'FEBRERO-15'!P14+'MARZO-15'!P14+'ABRIL-15'!P14+'MAYO-15'!P14+'JUNIO-15'!P14+'JULIO-15'!P14+'AGOSTO-15'!P14+'SETIEMBRE-15'!P14+'OCTUBRE-15'!P14+'NOVIEMBRE-15'!P14+'DICIEMBRE-15'!P14</f>
        <v>11640.8</v>
      </c>
      <c r="O47" s="103">
        <f>+'ENERO-15'!Q14+'FEBRERO-15'!Q14+'MARZO-15'!Q14+'ABRIL-15'!Q14+'MAYO-15'!Q14+'JUNIO-15'!Q14+'JULIO-15'!Q14+'AGOSTO-15'!Q14+'SETIEMBRE-15'!Q14+'OCTUBRE-15'!Q14+'NOVIEMBRE-15'!Q14+'DICIEMBRE-15'!Q14</f>
        <v>1047.672</v>
      </c>
      <c r="P47" s="103">
        <f>+'ENERO-15'!R14+'FEBRERO-15'!R14+'MARZO-15'!R14+'ABRIL-15'!R14+'MAYO-15'!R14+'JUNIO-15'!R14+'JULIO-15'!R14+'AGOSTO-15'!R14+'SETIEMBRE-15'!R14+'OCTUBRE-15'!R14+'NOVIEMBRE-15'!R14+'DICIEMBRE-15'!R14</f>
        <v>0</v>
      </c>
      <c r="Q47" s="103">
        <f>+'ENERO-15'!S14+'FEBRERO-15'!S14+'MARZO-15'!S14+'ABRIL-15'!S14+'MAYO-15'!S14+'JUNIO-15'!S14+'JULIO-15'!S14+'AGOSTO-15'!S14+'SETIEMBRE-15'!S14+'OCTUBRE-15'!S14+'NOVIEMBRE-15'!S14+'DICIEMBRE-15'!S14</f>
        <v>1047.672</v>
      </c>
    </row>
    <row r="48" spans="1:17" ht="15" customHeight="1">
      <c r="A48" s="100">
        <v>2</v>
      </c>
      <c r="B48" s="101" t="s">
        <v>26</v>
      </c>
      <c r="C48" s="103">
        <f>+'ENERO-15'!E15+'FEBRERO-15'!E15+'MARZO-15'!E15+'ABRIL-15'!E15+'MAYO-15'!E15+'JUNIO-15'!E15+'JULIO-15'!E15+'AGOSTO-15'!E15+'SETIEMBRE-15'!E15+'OCTUBRE-15'!E15+'NOVIEMBRE-15'!E15+'DICIEMBRE-15'!E15</f>
        <v>9933.33</v>
      </c>
      <c r="D48" s="103">
        <f>+'ENERO-15'!F15+'FEBRERO-15'!F15+'MARZO-15'!F15+'ABRIL-15'!F15+'MAYO-15'!F15+'JUNIO-15'!F15+'JULIO-15'!F15+'AGOSTO-15'!F15+'SETIEMBRE-15'!F15+'OCTUBRE-15'!F15+'NOVIEMBRE-15'!F15+'DICIEMBRE-15'!F15</f>
        <v>148</v>
      </c>
      <c r="E48" s="103">
        <f>+'ENERO-15'!G15+'FEBRERO-15'!G15+'MARZO-15'!G15+'ABRIL-15'!G15+'MAYO-15'!G15+'JUNIO-15'!G15+'JULIO-15'!G15+'AGOSTO-15'!G15+'SETIEMBRE-15'!G15+'OCTUBRE-15'!G15+'NOVIEMBRE-15'!G15+'DICIEMBRE-15'!G15</f>
        <v>0</v>
      </c>
      <c r="F48" s="103">
        <f>+'ENERO-15'!H15+'FEBRERO-15'!H15+'MARZO-15'!H15+'ABRIL-15'!H15+'MAYO-15'!H15+'JUNIO-15'!H15+'JULIO-15'!H15+'AGOSTO-15'!H15+'SETIEMBRE-15'!H15+'OCTUBRE-15'!H15+'NOVIEMBRE-15'!H15+'DICIEMBRE-15'!H15</f>
        <v>0</v>
      </c>
      <c r="G48" s="103">
        <f>+'ENERO-15'!I15+'FEBRERO-15'!I15+'MARZO-15'!I15+'ABRIL-15'!I15+'MAYO-15'!I15+'JUNIO-15'!I15+'JULIO-15'!I15+'AGOSTO-15'!I15+'SETIEMBRE-15'!I15+'OCTUBRE-15'!I15+'NOVIEMBRE-15'!I15+'DICIEMBRE-15'!I15</f>
        <v>0</v>
      </c>
      <c r="H48" s="103">
        <f>+'ENERO-15'!J15+'FEBRERO-15'!J15+'MARZO-15'!J15+'ABRIL-15'!J15+'MAYO-15'!J15+'JUNIO-15'!J15+'JULIO-15'!J15+'AGOSTO-15'!J15+'SETIEMBRE-15'!J15+'OCTUBRE-15'!J15+'NOVIEMBRE-15'!J15+'DICIEMBRE-15'!J15</f>
        <v>0</v>
      </c>
      <c r="I48" s="103">
        <f>+'ENERO-15'!K15+'FEBRERO-15'!K15+'MARZO-15'!K15+'ABRIL-15'!K15+'MAYO-15'!K15+'JUNIO-15'!K15+'JULIO-15'!K15+'AGOSTO-15'!K15+'SETIEMBRE-15'!K15+'OCTUBRE-15'!K15+'NOVIEMBRE-15'!K15+'DICIEMBRE-15'!K15</f>
        <v>0</v>
      </c>
      <c r="J48" s="103">
        <f>+'ENERO-15'!L15+'FEBRERO-15'!L15+'MARZO-15'!L15+'ABRIL-15'!L15+'MAYO-15'!L15+'JUNIO-15'!L15+'JULIO-15'!L15+'AGOSTO-15'!L15+'SETIEMBRE-15'!L15+'OCTUBRE-15'!L15+'NOVIEMBRE-15'!L15+'DICIEMBRE-15'!L15</f>
        <v>0</v>
      </c>
      <c r="K48" s="103">
        <f>+'ENERO-15'!M15+'FEBRERO-15'!M15+'MARZO-15'!M15+'ABRIL-15'!M15+'MAYO-15'!M15+'JUNIO-15'!M15+'JULIO-15'!M15+'AGOSTO-15'!M15+'SETIEMBRE-15'!M15+'OCTUBRE-15'!M15+'NOVIEMBRE-15'!M15+'DICIEMBRE-15'!M15</f>
        <v>0</v>
      </c>
      <c r="L48" s="103">
        <f>+'ENERO-15'!N15+'FEBRERO-15'!N15+'MARZO-15'!N15+'ABRIL-15'!N15+'MAYO-15'!N15+'JUNIO-15'!N15+'JULIO-15'!N15+'AGOSTO-15'!N15+'SETIEMBRE-15'!N15+'OCTUBRE-15'!N15+'NOVIEMBRE-15'!N15+'DICIEMBRE-15'!N15</f>
        <v>0</v>
      </c>
      <c r="M48" s="103">
        <f>+'ENERO-15'!O15+'FEBRERO-15'!O15+'MARZO-15'!O15+'ABRIL-15'!O15+'MAYO-15'!O15+'JUNIO-15'!O15+'JULIO-15'!O15+'AGOSTO-15'!O15+'SETIEMBRE-15'!O15+'OCTUBRE-15'!O15+'NOVIEMBRE-15'!O15+'DICIEMBRE-15'!O15</f>
        <v>10081.33</v>
      </c>
      <c r="N48" s="103">
        <f>+'ENERO-15'!P15+'FEBRERO-15'!P15+'MARZO-15'!P15+'ABRIL-15'!P15+'MAYO-15'!P15+'JUNIO-15'!P15+'JULIO-15'!P15+'AGOSTO-15'!P15+'SETIEMBRE-15'!P15+'OCTUBRE-15'!P15+'NOVIEMBRE-15'!P15+'DICIEMBRE-15'!P15</f>
        <v>10081.33</v>
      </c>
      <c r="O48" s="103">
        <f>+'ENERO-15'!Q15+'FEBRERO-15'!Q15+'MARZO-15'!Q15+'ABRIL-15'!Q15+'MAYO-15'!Q15+'JUNIO-15'!Q15+'JULIO-15'!Q15+'AGOSTO-15'!Q15+'SETIEMBRE-15'!Q15+'OCTUBRE-15'!Q15+'NOVIEMBRE-15'!Q15+'DICIEMBRE-15'!Q15</f>
        <v>907.31970000000001</v>
      </c>
      <c r="P48" s="103">
        <f>+'ENERO-15'!R15+'FEBRERO-15'!R15+'MARZO-15'!R15+'ABRIL-15'!R15+'MAYO-15'!R15+'JUNIO-15'!R15+'JULIO-15'!R15+'AGOSTO-15'!R15+'SETIEMBRE-15'!R15+'OCTUBRE-15'!R15+'NOVIEMBRE-15'!R15+'DICIEMBRE-15'!R15</f>
        <v>0</v>
      </c>
      <c r="Q48" s="103">
        <f>+'ENERO-15'!S15+'FEBRERO-15'!S15+'MARZO-15'!S15+'ABRIL-15'!S15+'MAYO-15'!S15+'JUNIO-15'!S15+'JULIO-15'!S15+'AGOSTO-15'!S15+'SETIEMBRE-15'!S15+'OCTUBRE-15'!S15+'NOVIEMBRE-15'!S15+'DICIEMBRE-15'!S15</f>
        <v>907.31970000000001</v>
      </c>
    </row>
    <row r="49" spans="1:17" ht="15" customHeight="1">
      <c r="A49" s="100">
        <v>3</v>
      </c>
      <c r="B49" s="102" t="s">
        <v>58</v>
      </c>
      <c r="C49" s="103">
        <f>+'ENERO-15'!E16+'FEBRERO-15'!E16+'MARZO-15'!E16+'ABRIL-15'!E16+'MAYO-15'!E16+'JUNIO-15'!E16+'JULIO-15'!E16+'AGOSTO-15'!E16+'SETIEMBRE-15'!E16+'OCTUBRE-15'!E16+'NOVIEMBRE-15'!E16+'DICIEMBRE-15'!E16</f>
        <v>1700</v>
      </c>
      <c r="D49" s="103">
        <f>+'ENERO-15'!F16+'FEBRERO-15'!F16+'MARZO-15'!F16+'ABRIL-15'!F16+'MAYO-15'!F16+'JUNIO-15'!F16+'JULIO-15'!F16+'AGOSTO-15'!F16+'SETIEMBRE-15'!F16+'OCTUBRE-15'!F16+'NOVIEMBRE-15'!F16+'DICIEMBRE-15'!F16</f>
        <v>75</v>
      </c>
      <c r="E49" s="103">
        <f>+'ENERO-15'!G16+'FEBRERO-15'!G16+'MARZO-15'!G16+'ABRIL-15'!G16+'MAYO-15'!G16+'JUNIO-15'!G16+'JULIO-15'!G16+'AGOSTO-15'!G16+'SETIEMBRE-15'!G16+'OCTUBRE-15'!G16+'NOVIEMBRE-15'!G16+'DICIEMBRE-15'!G16</f>
        <v>150</v>
      </c>
      <c r="F49" s="103">
        <f>+'ENERO-15'!H16+'FEBRERO-15'!H16+'MARZO-15'!H16+'ABRIL-15'!H16+'MAYO-15'!H16+'JUNIO-15'!H16+'JULIO-15'!H16+'AGOSTO-15'!H16+'SETIEMBRE-15'!H16+'OCTUBRE-15'!H16+'NOVIEMBRE-15'!H16+'DICIEMBRE-15'!H16</f>
        <v>0</v>
      </c>
      <c r="G49" s="103">
        <f>+'ENERO-15'!I16+'FEBRERO-15'!I16+'MARZO-15'!I16+'ABRIL-15'!I16+'MAYO-15'!I16+'JUNIO-15'!I16+'JULIO-15'!I16+'AGOSTO-15'!I16+'SETIEMBRE-15'!I16+'OCTUBRE-15'!I16+'NOVIEMBRE-15'!I16+'DICIEMBRE-15'!I16</f>
        <v>0</v>
      </c>
      <c r="H49" s="103">
        <f>+'ENERO-15'!J16+'FEBRERO-15'!J16+'MARZO-15'!J16+'ABRIL-15'!J16+'MAYO-15'!J16+'JUNIO-15'!J16+'JULIO-15'!J16+'AGOSTO-15'!J16+'SETIEMBRE-15'!J16+'OCTUBRE-15'!J16+'NOVIEMBRE-15'!J16+'DICIEMBRE-15'!J16</f>
        <v>1934.75</v>
      </c>
      <c r="I49" s="103">
        <f>+'ENERO-15'!K16+'FEBRERO-15'!K16+'MARZO-15'!K16+'ABRIL-15'!K16+'MAYO-15'!K16+'JUNIO-15'!K16+'JULIO-15'!K16+'AGOSTO-15'!K16+'SETIEMBRE-15'!K16+'OCTUBRE-15'!K16+'NOVIEMBRE-15'!K16+'DICIEMBRE-15'!K16</f>
        <v>0</v>
      </c>
      <c r="J49" s="103">
        <f>+'ENERO-15'!L16+'FEBRERO-15'!L16+'MARZO-15'!L16+'ABRIL-15'!L16+'MAYO-15'!L16+'JUNIO-15'!L16+'JULIO-15'!L16+'AGOSTO-15'!L16+'SETIEMBRE-15'!L16+'OCTUBRE-15'!L16+'NOVIEMBRE-15'!L16+'DICIEMBRE-15'!L16</f>
        <v>0</v>
      </c>
      <c r="K49" s="103">
        <f>+'ENERO-15'!M16+'FEBRERO-15'!M16+'MARZO-15'!M16+'ABRIL-15'!M16+'MAYO-15'!M16+'JUNIO-15'!M16+'JULIO-15'!M16+'AGOSTO-15'!M16+'SETIEMBRE-15'!M16+'OCTUBRE-15'!M16+'NOVIEMBRE-15'!M16+'DICIEMBRE-15'!M16</f>
        <v>0</v>
      </c>
      <c r="L49" s="103">
        <f>+'ENERO-15'!N16+'FEBRERO-15'!N16+'MARZO-15'!N16+'ABRIL-15'!N16+'MAYO-15'!N16+'JUNIO-15'!N16+'JULIO-15'!N16+'AGOSTO-15'!N16+'SETIEMBRE-15'!N16+'OCTUBRE-15'!N16+'NOVIEMBRE-15'!N16+'DICIEMBRE-15'!N16</f>
        <v>0</v>
      </c>
      <c r="M49" s="103">
        <f>+'ENERO-15'!O16+'FEBRERO-15'!O16+'MARZO-15'!O16+'ABRIL-15'!O16+'MAYO-15'!O16+'JUNIO-15'!O16+'JULIO-15'!O16+'AGOSTO-15'!O16+'SETIEMBRE-15'!O16+'OCTUBRE-15'!O16+'NOVIEMBRE-15'!O16+'DICIEMBRE-15'!O16</f>
        <v>3859.75</v>
      </c>
      <c r="N49" s="103">
        <f>+'ENERO-15'!P16+'FEBRERO-15'!P16+'MARZO-15'!P16+'ABRIL-15'!P16+'MAYO-15'!P16+'JUNIO-15'!P16+'JULIO-15'!P16+'AGOSTO-15'!P16+'SETIEMBRE-15'!P16+'OCTUBRE-15'!P16+'NOVIEMBRE-15'!P16+'DICIEMBRE-15'!P16</f>
        <v>1925</v>
      </c>
      <c r="O49" s="103">
        <f>+'ENERO-15'!Q16+'FEBRERO-15'!Q16+'MARZO-15'!Q16+'ABRIL-15'!Q16+'MAYO-15'!Q16+'JUNIO-15'!Q16+'JULIO-15'!Q16+'AGOSTO-15'!Q16+'SETIEMBRE-15'!Q16+'OCTUBRE-15'!Q16+'NOVIEMBRE-15'!Q16+'DICIEMBRE-15'!Q16</f>
        <v>173.25</v>
      </c>
      <c r="P49" s="103">
        <f>+'ENERO-15'!R16+'FEBRERO-15'!R16+'MARZO-15'!R16+'ABRIL-15'!R16+'MAYO-15'!R16+'JUNIO-15'!R16+'JULIO-15'!R16+'AGOSTO-15'!R16+'SETIEMBRE-15'!R16+'OCTUBRE-15'!R16+'NOVIEMBRE-15'!R16+'DICIEMBRE-15'!R16</f>
        <v>0</v>
      </c>
      <c r="Q49" s="103">
        <f>+'ENERO-15'!S16+'FEBRERO-15'!S16+'MARZO-15'!S16+'ABRIL-15'!S16+'MAYO-15'!S16+'JUNIO-15'!S16+'JULIO-15'!S16+'AGOSTO-15'!S16+'SETIEMBRE-15'!S16+'OCTUBRE-15'!S16+'NOVIEMBRE-15'!S16+'DICIEMBRE-15'!S16</f>
        <v>173.25</v>
      </c>
    </row>
    <row r="50" spans="1:17" ht="15" customHeight="1">
      <c r="A50" s="100">
        <v>4</v>
      </c>
      <c r="B50" s="101" t="s">
        <v>32</v>
      </c>
      <c r="C50" s="103">
        <f>+'ENERO-15'!E17+'FEBRERO-15'!E17+'MARZO-15'!E17+'ABRIL-15'!E17+'MAYO-15'!E17+'JUNIO-15'!E17+'JULIO-15'!E17+'AGOSTO-15'!E17+'SETIEMBRE-15'!E17+'OCTUBRE-15'!E17+'NOVIEMBRE-15'!E17+'DICIEMBRE-15'!E17</f>
        <v>22534.799999999999</v>
      </c>
      <c r="D50" s="103">
        <f>+'ENERO-15'!F17+'FEBRERO-15'!F17+'MARZO-15'!F17+'ABRIL-15'!F17+'MAYO-15'!F17+'JUNIO-15'!F17+'JULIO-15'!F17+'AGOSTO-15'!F17+'SETIEMBRE-15'!F17+'OCTUBRE-15'!F17+'NOVIEMBRE-15'!F17+'DICIEMBRE-15'!F17</f>
        <v>1212</v>
      </c>
      <c r="E50" s="103">
        <f>+'ENERO-15'!G17+'FEBRERO-15'!G17+'MARZO-15'!G17+'ABRIL-15'!G17+'MAYO-15'!G17+'JUNIO-15'!G17+'JULIO-15'!G17+'AGOSTO-15'!G17+'SETIEMBRE-15'!G17+'OCTUBRE-15'!G17+'NOVIEMBRE-15'!G17+'DICIEMBRE-15'!G17</f>
        <v>0</v>
      </c>
      <c r="F50" s="103">
        <f>+'ENERO-15'!H17+'FEBRERO-15'!H17+'MARZO-15'!H17+'ABRIL-15'!H17+'MAYO-15'!H17+'JUNIO-15'!H17+'JULIO-15'!H17+'AGOSTO-15'!H17+'SETIEMBRE-15'!H17+'OCTUBRE-15'!H17+'NOVIEMBRE-15'!H17+'DICIEMBRE-15'!H17</f>
        <v>0</v>
      </c>
      <c r="G50" s="103">
        <f>+'ENERO-15'!I17+'FEBRERO-15'!I17+'MARZO-15'!I17+'ABRIL-15'!I17+'MAYO-15'!I17+'JUNIO-15'!I17+'JULIO-15'!I17+'AGOSTO-15'!I17+'SETIEMBRE-15'!I17+'OCTUBRE-15'!I17+'NOVIEMBRE-15'!I17+'DICIEMBRE-15'!I17</f>
        <v>0</v>
      </c>
      <c r="H50" s="103">
        <f>+'ENERO-15'!J17+'FEBRERO-15'!J17+'MARZO-15'!J17+'ABRIL-15'!J17+'MAYO-15'!J17+'JUNIO-15'!J17+'JULIO-15'!J17+'AGOSTO-15'!J17+'SETIEMBRE-15'!J17+'OCTUBRE-15'!J17+'NOVIEMBRE-15'!J17+'DICIEMBRE-15'!J17</f>
        <v>4093.8199999999997</v>
      </c>
      <c r="I50" s="103">
        <f>+'ENERO-15'!K17+'FEBRERO-15'!K17+'MARZO-15'!K17+'ABRIL-15'!K17+'MAYO-15'!K17+'JUNIO-15'!K17+'JULIO-15'!K17+'AGOSTO-15'!K17+'SETIEMBRE-15'!K17+'OCTUBRE-15'!K17+'NOVIEMBRE-15'!K17+'DICIEMBRE-15'!K17</f>
        <v>0</v>
      </c>
      <c r="J50" s="103">
        <f>+'ENERO-15'!L17+'FEBRERO-15'!L17+'MARZO-15'!L17+'ABRIL-15'!L17+'MAYO-15'!L17+'JUNIO-15'!L17+'JULIO-15'!L17+'AGOSTO-15'!L17+'SETIEMBRE-15'!L17+'OCTUBRE-15'!L17+'NOVIEMBRE-15'!L17+'DICIEMBRE-15'!L17</f>
        <v>0</v>
      </c>
      <c r="K50" s="103">
        <f>+'ENERO-15'!M17+'FEBRERO-15'!M17+'MARZO-15'!M17+'ABRIL-15'!M17+'MAYO-15'!M17+'JUNIO-15'!M17+'JULIO-15'!M17+'AGOSTO-15'!M17+'SETIEMBRE-15'!M17+'OCTUBRE-15'!M17+'NOVIEMBRE-15'!M17+'DICIEMBRE-15'!M17</f>
        <v>0</v>
      </c>
      <c r="L50" s="103">
        <f>+'ENERO-15'!N17+'FEBRERO-15'!N17+'MARZO-15'!N17+'ABRIL-15'!N17+'MAYO-15'!N17+'JUNIO-15'!N17+'JULIO-15'!N17+'AGOSTO-15'!N17+'SETIEMBRE-15'!N17+'OCTUBRE-15'!N17+'NOVIEMBRE-15'!N17+'DICIEMBRE-15'!N17</f>
        <v>0</v>
      </c>
      <c r="M50" s="103">
        <f>+'ENERO-15'!O17+'FEBRERO-15'!O17+'MARZO-15'!O17+'ABRIL-15'!O17+'MAYO-15'!O17+'JUNIO-15'!O17+'JULIO-15'!O17+'AGOSTO-15'!O17+'SETIEMBRE-15'!O17+'OCTUBRE-15'!O17+'NOVIEMBRE-15'!O17+'DICIEMBRE-15'!O17</f>
        <v>27840.62</v>
      </c>
      <c r="N50" s="103">
        <f>+'ENERO-15'!P17+'FEBRERO-15'!P17+'MARZO-15'!P17+'ABRIL-15'!P17+'MAYO-15'!P17+'JUNIO-15'!P17+'JULIO-15'!P17+'AGOSTO-15'!P17+'SETIEMBRE-15'!P17+'OCTUBRE-15'!P17+'NOVIEMBRE-15'!P17+'DICIEMBRE-15'!P17</f>
        <v>23746.799999999999</v>
      </c>
      <c r="O50" s="103">
        <f>+'ENERO-15'!Q17+'FEBRERO-15'!Q17+'MARZO-15'!Q17+'ABRIL-15'!Q17+'MAYO-15'!Q17+'JUNIO-15'!Q17+'JULIO-15'!Q17+'AGOSTO-15'!Q17+'SETIEMBRE-15'!Q17+'OCTUBRE-15'!Q17+'NOVIEMBRE-15'!Q17+'DICIEMBRE-15'!Q17</f>
        <v>2137.212</v>
      </c>
      <c r="P50" s="103">
        <f>+'ENERO-15'!R17+'FEBRERO-15'!R17+'MARZO-15'!R17+'ABRIL-15'!R17+'MAYO-15'!R17+'JUNIO-15'!R17+'JULIO-15'!R17+'AGOSTO-15'!R17+'SETIEMBRE-15'!R17+'OCTUBRE-15'!R17+'NOVIEMBRE-15'!R17+'DICIEMBRE-15'!R17</f>
        <v>0</v>
      </c>
      <c r="Q50" s="103">
        <f>+'ENERO-15'!S17+'FEBRERO-15'!S17+'MARZO-15'!S17+'ABRIL-15'!S17+'MAYO-15'!S17+'JUNIO-15'!S17+'JULIO-15'!S17+'AGOSTO-15'!S17+'SETIEMBRE-15'!S17+'OCTUBRE-15'!S17+'NOVIEMBRE-15'!S17+'DICIEMBRE-15'!S17</f>
        <v>2137.212</v>
      </c>
    </row>
    <row r="51" spans="1:17" s="112" customFormat="1" ht="15" customHeight="1" thickBot="1">
      <c r="A51" s="119" t="s">
        <v>82</v>
      </c>
      <c r="B51" s="120"/>
      <c r="C51" s="111">
        <f>SUM(C47:C50)</f>
        <v>45308.929999999993</v>
      </c>
      <c r="D51" s="111">
        <f t="shared" ref="D51:Q51" si="32">SUM(D47:D50)</f>
        <v>1935</v>
      </c>
      <c r="E51" s="111">
        <f t="shared" si="32"/>
        <v>150</v>
      </c>
      <c r="F51" s="111">
        <f t="shared" si="32"/>
        <v>0</v>
      </c>
      <c r="G51" s="111">
        <f t="shared" si="32"/>
        <v>0</v>
      </c>
      <c r="H51" s="111">
        <f t="shared" si="32"/>
        <v>6028.57</v>
      </c>
      <c r="I51" s="111">
        <f t="shared" si="32"/>
        <v>0</v>
      </c>
      <c r="J51" s="111">
        <f t="shared" si="32"/>
        <v>0</v>
      </c>
      <c r="K51" s="111">
        <f t="shared" si="32"/>
        <v>0</v>
      </c>
      <c r="L51" s="111">
        <f t="shared" si="32"/>
        <v>0</v>
      </c>
      <c r="M51" s="111">
        <f t="shared" si="32"/>
        <v>53422.5</v>
      </c>
      <c r="N51" s="111">
        <f t="shared" si="32"/>
        <v>47393.929999999993</v>
      </c>
      <c r="O51" s="111">
        <f t="shared" si="32"/>
        <v>4265.4537</v>
      </c>
      <c r="P51" s="111">
        <f t="shared" si="32"/>
        <v>0</v>
      </c>
      <c r="Q51" s="111">
        <f t="shared" si="32"/>
        <v>4265.4537</v>
      </c>
    </row>
    <row r="52" spans="1:17" ht="15" customHeight="1" thickTop="1">
      <c r="A52" s="107"/>
      <c r="B52" s="108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</row>
    <row r="53" spans="1:17" ht="15" customHeight="1">
      <c r="A53" s="123" t="s">
        <v>89</v>
      </c>
      <c r="B53" s="123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</row>
    <row r="54" spans="1:17" ht="15" customHeight="1">
      <c r="A54" s="118" t="s">
        <v>86</v>
      </c>
      <c r="B54" s="118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</row>
    <row r="55" spans="1:17" ht="15" customHeight="1">
      <c r="A55" s="114" t="s">
        <v>90</v>
      </c>
      <c r="B55" s="101" t="s">
        <v>47</v>
      </c>
      <c r="C55" s="103">
        <f>+'ENERO-15'!E19+'FEBRERO-15'!E19+'MARZO-15'!E19+'ABRIL-15'!E19+'MAYO-15'!E19+'JUNIO-15'!E19+'JULIO-15'!E19+'AGOSTO-15'!E19+'SETIEMBRE-15'!E19+'OCTUBRE-15'!E19+'NOVIEMBRE-15'!E19+'DICIEMBRE-15'!E19</f>
        <v>18480</v>
      </c>
      <c r="D55" s="103">
        <f>+'ENERO-15'!F19+'FEBRERO-15'!F19+'MARZO-15'!F19+'ABRIL-15'!F19+'MAYO-15'!F19+'JUNIO-15'!F19+'JULIO-15'!F19+'AGOSTO-15'!F19+'SETIEMBRE-15'!F19+'OCTUBRE-15'!F19+'NOVIEMBRE-15'!F19+'DICIEMBRE-15'!F19</f>
        <v>3290.6</v>
      </c>
      <c r="E55" s="103">
        <f>+'ENERO-15'!G19+'FEBRERO-15'!G19+'MARZO-15'!G19+'ABRIL-15'!G19+'MAYO-15'!G19+'JUNIO-15'!G19+'JULIO-15'!G19+'AGOSTO-15'!G19+'SETIEMBRE-15'!G19+'OCTUBRE-15'!G19+'NOVIEMBRE-15'!G19+'DICIEMBRE-15'!G19</f>
        <v>0</v>
      </c>
      <c r="F55" s="103">
        <f>+'ENERO-15'!H19+'FEBRERO-15'!H19+'MARZO-15'!H19+'ABRIL-15'!H19+'MAYO-15'!H19+'JUNIO-15'!H19+'JULIO-15'!H19+'AGOSTO-15'!H19+'SETIEMBRE-15'!H19+'OCTUBRE-15'!H19+'NOVIEMBRE-15'!H19+'DICIEMBRE-15'!H19</f>
        <v>0</v>
      </c>
      <c r="G55" s="103">
        <f>+'ENERO-15'!I19+'FEBRERO-15'!I19+'MARZO-15'!I19+'ABRIL-15'!I19+'MAYO-15'!I19+'JUNIO-15'!I19+'JULIO-15'!I19+'AGOSTO-15'!I19+'SETIEMBRE-15'!I19+'OCTUBRE-15'!I19+'NOVIEMBRE-15'!I19+'DICIEMBRE-15'!I19</f>
        <v>0</v>
      </c>
      <c r="H55" s="103">
        <f>+'ENERO-15'!J19+'FEBRERO-15'!J19+'MARZO-15'!J19+'ABRIL-15'!J19+'MAYO-15'!J19+'JUNIO-15'!J19+'JULIO-15'!J19+'AGOSTO-15'!J19+'SETIEMBRE-15'!J19+'OCTUBRE-15'!J19+'NOVIEMBRE-15'!J19+'DICIEMBRE-15'!J19</f>
        <v>2014.32</v>
      </c>
      <c r="I55" s="103">
        <f>+'ENERO-15'!K19+'FEBRERO-15'!K19+'MARZO-15'!K19+'ABRIL-15'!K19+'MAYO-15'!K19+'JUNIO-15'!K19+'JULIO-15'!K19+'AGOSTO-15'!K19+'SETIEMBRE-15'!K19+'OCTUBRE-15'!K19+'NOVIEMBRE-15'!K19+'DICIEMBRE-15'!K19</f>
        <v>1848</v>
      </c>
      <c r="J55" s="103">
        <f>+'ENERO-15'!L19+'FEBRERO-15'!L19+'MARZO-15'!L19+'ABRIL-15'!L19+'MAYO-15'!L19+'JUNIO-15'!L19+'JULIO-15'!L19+'AGOSTO-15'!L19+'SETIEMBRE-15'!L19+'OCTUBRE-15'!L19+'NOVIEMBRE-15'!L19+'DICIEMBRE-15'!L19</f>
        <v>0</v>
      </c>
      <c r="K55" s="103">
        <f>+'ENERO-15'!M19+'FEBRERO-15'!M19+'MARZO-15'!M19+'ABRIL-15'!M19+'MAYO-15'!M19+'JUNIO-15'!M19+'JULIO-15'!M19+'AGOSTO-15'!M19+'SETIEMBRE-15'!M19+'OCTUBRE-15'!M19+'NOVIEMBRE-15'!M19+'DICIEMBRE-15'!M19</f>
        <v>609.5</v>
      </c>
      <c r="L55" s="103">
        <f>+'ENERO-15'!N19+'FEBRERO-15'!N19+'MARZO-15'!N19+'ABRIL-15'!N19+'MAYO-15'!N19+'JUNIO-15'!N19+'JULIO-15'!N19+'AGOSTO-15'!N19+'SETIEMBRE-15'!N19+'OCTUBRE-15'!N19+'NOVIEMBRE-15'!N19+'DICIEMBRE-15'!N19</f>
        <v>0</v>
      </c>
      <c r="M55" s="103">
        <f>+'ENERO-15'!O19+'FEBRERO-15'!O19+'MARZO-15'!O19+'ABRIL-15'!O19+'MAYO-15'!O19+'JUNIO-15'!O19+'JULIO-15'!O19+'AGOSTO-15'!O19+'SETIEMBRE-15'!O19+'OCTUBRE-15'!O19+'NOVIEMBRE-15'!O19+'DICIEMBRE-15'!O19</f>
        <v>26242.42</v>
      </c>
      <c r="N55" s="103">
        <f>+'ENERO-15'!P19+'FEBRERO-15'!P19+'MARZO-15'!P19+'ABRIL-15'!P19+'MAYO-15'!P19+'JUNIO-15'!P19+'JULIO-15'!P19+'AGOSTO-15'!P19+'SETIEMBRE-15'!P19+'OCTUBRE-15'!P19+'NOVIEMBRE-15'!P19+'DICIEMBRE-15'!P19</f>
        <v>23618.6</v>
      </c>
      <c r="O55" s="103">
        <f>+'ENERO-15'!Q19+'FEBRERO-15'!Q19+'MARZO-15'!Q19+'ABRIL-15'!Q19+'MAYO-15'!Q19+'JUNIO-15'!Q19+'JULIO-15'!Q19+'AGOSTO-15'!Q19+'SETIEMBRE-15'!Q19+'OCTUBRE-15'!Q19+'NOVIEMBRE-15'!Q19+'DICIEMBRE-15'!Q19</f>
        <v>2125.674</v>
      </c>
      <c r="P55" s="103">
        <f>+'ENERO-15'!R19+'FEBRERO-15'!R19+'MARZO-15'!R19+'ABRIL-15'!R19+'MAYO-15'!R19+'JUNIO-15'!R19+'JULIO-15'!R19+'AGOSTO-15'!R19+'SETIEMBRE-15'!R19+'OCTUBRE-15'!R19+'NOVIEMBRE-15'!R19+'DICIEMBRE-15'!R19</f>
        <v>0</v>
      </c>
      <c r="Q55" s="103">
        <f>+'ENERO-15'!S19+'FEBRERO-15'!S19+'MARZO-15'!S19+'ABRIL-15'!S19+'MAYO-15'!S19+'JUNIO-15'!S19+'JULIO-15'!S19+'AGOSTO-15'!S19+'SETIEMBRE-15'!S19+'OCTUBRE-15'!S19+'NOVIEMBRE-15'!S19+'DICIEMBRE-15'!S19</f>
        <v>2125.674</v>
      </c>
    </row>
    <row r="56" spans="1:17" ht="15" customHeight="1">
      <c r="A56" s="114" t="s">
        <v>91</v>
      </c>
      <c r="B56" s="101" t="s">
        <v>27</v>
      </c>
      <c r="C56" s="103">
        <f>+'ENERO-15'!E20+'FEBRERO-15'!E20+'MARZO-15'!E20+'ABRIL-15'!E20+'MAYO-15'!E20+'JUNIO-15'!E20+'JULIO-15'!E20+'AGOSTO-15'!E20+'SETIEMBRE-15'!E20+'OCTUBRE-15'!E20+'NOVIEMBRE-15'!E20+'DICIEMBRE-15'!E20</f>
        <v>22788</v>
      </c>
      <c r="D56" s="103">
        <f>+'ENERO-15'!F20+'FEBRERO-15'!F20+'MARZO-15'!F20+'ABRIL-15'!F20+'MAYO-15'!F20+'JUNIO-15'!F20+'JULIO-15'!F20+'AGOSTO-15'!F20+'SETIEMBRE-15'!F20+'OCTUBRE-15'!F20+'NOVIEMBRE-15'!F20+'DICIEMBRE-15'!F20</f>
        <v>4095.2000000000003</v>
      </c>
      <c r="E56" s="103">
        <f>+'ENERO-15'!G20+'FEBRERO-15'!G20+'MARZO-15'!G20+'ABRIL-15'!G20+'MAYO-15'!G20+'JUNIO-15'!G20+'JULIO-15'!G20+'AGOSTO-15'!G20+'SETIEMBRE-15'!G20+'OCTUBRE-15'!G20+'NOVIEMBRE-15'!G20+'DICIEMBRE-15'!G20</f>
        <v>0</v>
      </c>
      <c r="F56" s="103">
        <f>+'ENERO-15'!H20+'FEBRERO-15'!H20+'MARZO-15'!H20+'ABRIL-15'!H20+'MAYO-15'!H20+'JUNIO-15'!H20+'JULIO-15'!H20+'AGOSTO-15'!H20+'SETIEMBRE-15'!H20+'OCTUBRE-15'!H20+'NOVIEMBRE-15'!H20+'DICIEMBRE-15'!H20</f>
        <v>0</v>
      </c>
      <c r="G56" s="103">
        <f>+'ENERO-15'!I20+'FEBRERO-15'!I20+'MARZO-15'!I20+'ABRIL-15'!I20+'MAYO-15'!I20+'JUNIO-15'!I20+'JULIO-15'!I20+'AGOSTO-15'!I20+'SETIEMBRE-15'!I20+'OCTUBRE-15'!I20+'NOVIEMBRE-15'!I20+'DICIEMBRE-15'!I20</f>
        <v>0</v>
      </c>
      <c r="H56" s="103">
        <f>+'ENERO-15'!J20+'FEBRERO-15'!J20+'MARZO-15'!J20+'ABRIL-15'!J20+'MAYO-15'!J20+'JUNIO-15'!J20+'JULIO-15'!J20+'AGOSTO-15'!J20+'SETIEMBRE-15'!J20+'OCTUBRE-15'!J20+'NOVIEMBRE-15'!J20+'DICIEMBRE-15'!J20</f>
        <v>4303.32</v>
      </c>
      <c r="I56" s="103">
        <f>+'ENERO-15'!K20+'FEBRERO-15'!K20+'MARZO-15'!K20+'ABRIL-15'!K20+'MAYO-15'!K20+'JUNIO-15'!K20+'JULIO-15'!K20+'AGOSTO-15'!K20+'SETIEMBRE-15'!K20+'OCTUBRE-15'!K20+'NOVIEMBRE-15'!K20+'DICIEMBRE-15'!K20</f>
        <v>0</v>
      </c>
      <c r="J56" s="103">
        <f>+'ENERO-15'!L20+'FEBRERO-15'!L20+'MARZO-15'!L20+'ABRIL-15'!L20+'MAYO-15'!L20+'JUNIO-15'!L20+'JULIO-15'!L20+'AGOSTO-15'!L20+'SETIEMBRE-15'!L20+'OCTUBRE-15'!L20+'NOVIEMBRE-15'!L20+'DICIEMBRE-15'!L20</f>
        <v>0</v>
      </c>
      <c r="K56" s="103">
        <f>+'ENERO-15'!M20+'FEBRERO-15'!M20+'MARZO-15'!M20+'ABRIL-15'!M20+'MAYO-15'!M20+'JUNIO-15'!M20+'JULIO-15'!M20+'AGOSTO-15'!M20+'SETIEMBRE-15'!M20+'OCTUBRE-15'!M20+'NOVIEMBRE-15'!M20+'DICIEMBRE-15'!M20</f>
        <v>0</v>
      </c>
      <c r="L56" s="103">
        <f>+'ENERO-15'!N20+'FEBRERO-15'!N20+'MARZO-15'!N20+'ABRIL-15'!N20+'MAYO-15'!N20+'JUNIO-15'!N20+'JULIO-15'!N20+'AGOSTO-15'!N20+'SETIEMBRE-15'!N20+'OCTUBRE-15'!N20+'NOVIEMBRE-15'!N20+'DICIEMBRE-15'!N20</f>
        <v>0</v>
      </c>
      <c r="M56" s="103">
        <f>+'ENERO-15'!O20+'FEBRERO-15'!O20+'MARZO-15'!O20+'ABRIL-15'!O20+'MAYO-15'!O20+'JUNIO-15'!O20+'JULIO-15'!O20+'AGOSTO-15'!O20+'SETIEMBRE-15'!O20+'OCTUBRE-15'!O20+'NOVIEMBRE-15'!O20+'DICIEMBRE-15'!O20</f>
        <v>31186.520000000004</v>
      </c>
      <c r="N56" s="103">
        <f>+'ENERO-15'!P20+'FEBRERO-15'!P20+'MARZO-15'!P20+'ABRIL-15'!P20+'MAYO-15'!P20+'JUNIO-15'!P20+'JULIO-15'!P20+'AGOSTO-15'!P20+'SETIEMBRE-15'!P20+'OCTUBRE-15'!P20+'NOVIEMBRE-15'!P20+'DICIEMBRE-15'!P20</f>
        <v>26883.200000000004</v>
      </c>
      <c r="O56" s="103">
        <f>+'ENERO-15'!Q20+'FEBRERO-15'!Q20+'MARZO-15'!Q20+'ABRIL-15'!Q20+'MAYO-15'!Q20+'JUNIO-15'!Q20+'JULIO-15'!Q20+'AGOSTO-15'!Q20+'SETIEMBRE-15'!Q20+'OCTUBRE-15'!Q20+'NOVIEMBRE-15'!Q20+'DICIEMBRE-15'!Q20</f>
        <v>2419.4879999999998</v>
      </c>
      <c r="P56" s="103">
        <f>+'ENERO-15'!R20+'FEBRERO-15'!R20+'MARZO-15'!R20+'ABRIL-15'!R20+'MAYO-15'!R20+'JUNIO-15'!R20+'JULIO-15'!R20+'AGOSTO-15'!R20+'SETIEMBRE-15'!R20+'OCTUBRE-15'!R20+'NOVIEMBRE-15'!R20+'DICIEMBRE-15'!R20</f>
        <v>0</v>
      </c>
      <c r="Q56" s="103">
        <f>+'ENERO-15'!S20+'FEBRERO-15'!S20+'MARZO-15'!S20+'ABRIL-15'!S20+'MAYO-15'!S20+'JUNIO-15'!S20+'JULIO-15'!S20+'AGOSTO-15'!S20+'SETIEMBRE-15'!S20+'OCTUBRE-15'!S20+'NOVIEMBRE-15'!S20+'DICIEMBRE-15'!S20</f>
        <v>2419.4879999999998</v>
      </c>
    </row>
    <row r="57" spans="1:17" ht="15" customHeight="1">
      <c r="A57" s="114" t="s">
        <v>92</v>
      </c>
      <c r="B57" s="101" t="s">
        <v>25</v>
      </c>
      <c r="C57" s="103">
        <f>+'ENERO-15'!E21+'FEBRERO-15'!E21+'MARZO-15'!E21+'ABRIL-15'!E21+'MAYO-15'!E21+'JUNIO-15'!E21+'JULIO-15'!E21+'AGOSTO-15'!E21+'SETIEMBRE-15'!E21+'OCTUBRE-15'!E21+'NOVIEMBRE-15'!E21+'DICIEMBRE-15'!E21</f>
        <v>19992</v>
      </c>
      <c r="D57" s="103">
        <f>+'ENERO-15'!F21+'FEBRERO-15'!F21+'MARZO-15'!F21+'ABRIL-15'!F21+'MAYO-15'!F21+'JUNIO-15'!F21+'JULIO-15'!F21+'AGOSTO-15'!F21+'SETIEMBRE-15'!F21+'OCTUBRE-15'!F21+'NOVIEMBRE-15'!F21+'DICIEMBRE-15'!F21</f>
        <v>4531.49</v>
      </c>
      <c r="E57" s="103">
        <f>+'ENERO-15'!G21+'FEBRERO-15'!G21+'MARZO-15'!G21+'ABRIL-15'!G21+'MAYO-15'!G21+'JUNIO-15'!G21+'JULIO-15'!G21+'AGOSTO-15'!G21+'SETIEMBRE-15'!G21+'OCTUBRE-15'!G21+'NOVIEMBRE-15'!G21+'DICIEMBRE-15'!G21</f>
        <v>0</v>
      </c>
      <c r="F57" s="103">
        <f>+'ENERO-15'!H21+'FEBRERO-15'!H21+'MARZO-15'!H21+'ABRIL-15'!H21+'MAYO-15'!H21+'JUNIO-15'!H21+'JULIO-15'!H21+'AGOSTO-15'!H21+'SETIEMBRE-15'!H21+'OCTUBRE-15'!H21+'NOVIEMBRE-15'!H21+'DICIEMBRE-15'!H21</f>
        <v>0</v>
      </c>
      <c r="G57" s="103">
        <f>+'ENERO-15'!I21+'FEBRERO-15'!I21+'MARZO-15'!I21+'ABRIL-15'!I21+'MAYO-15'!I21+'JUNIO-15'!I21+'JULIO-15'!I21+'AGOSTO-15'!I21+'SETIEMBRE-15'!I21+'OCTUBRE-15'!I21+'NOVIEMBRE-15'!I21+'DICIEMBRE-15'!I21</f>
        <v>0</v>
      </c>
      <c r="H57" s="103">
        <f>+'ENERO-15'!J21+'FEBRERO-15'!J21+'MARZO-15'!J21+'ABRIL-15'!J21+'MAYO-15'!J21+'JUNIO-15'!J21+'JULIO-15'!J21+'AGOSTO-15'!J21+'SETIEMBRE-15'!J21+'OCTUBRE-15'!J21+'NOVIEMBRE-15'!J21+'DICIEMBRE-15'!J21</f>
        <v>3795.38</v>
      </c>
      <c r="I57" s="103">
        <f>+'ENERO-15'!K21+'FEBRERO-15'!K21+'MARZO-15'!K21+'ABRIL-15'!K21+'MAYO-15'!K21+'JUNIO-15'!K21+'JULIO-15'!K21+'AGOSTO-15'!K21+'SETIEMBRE-15'!K21+'OCTUBRE-15'!K21+'NOVIEMBRE-15'!K21+'DICIEMBRE-15'!K21</f>
        <v>1741</v>
      </c>
      <c r="J57" s="103">
        <f>+'ENERO-15'!L21+'FEBRERO-15'!L21+'MARZO-15'!L21+'ABRIL-15'!L21+'MAYO-15'!L21+'JUNIO-15'!L21+'JULIO-15'!L21+'AGOSTO-15'!L21+'SETIEMBRE-15'!L21+'OCTUBRE-15'!L21+'NOVIEMBRE-15'!L21+'DICIEMBRE-15'!L21</f>
        <v>0</v>
      </c>
      <c r="K57" s="103">
        <f>+'ENERO-15'!M21+'FEBRERO-15'!M21+'MARZO-15'!M21+'ABRIL-15'!M21+'MAYO-15'!M21+'JUNIO-15'!M21+'JULIO-15'!M21+'AGOSTO-15'!M21+'SETIEMBRE-15'!M21+'OCTUBRE-15'!M21+'NOVIEMBRE-15'!M21+'DICIEMBRE-15'!M21</f>
        <v>805</v>
      </c>
      <c r="L57" s="103">
        <f>+'ENERO-15'!N21+'FEBRERO-15'!N21+'MARZO-15'!N21+'ABRIL-15'!N21+'MAYO-15'!N21+'JUNIO-15'!N21+'JULIO-15'!N21+'AGOSTO-15'!N21+'SETIEMBRE-15'!N21+'OCTUBRE-15'!N21+'NOVIEMBRE-15'!N21+'DICIEMBRE-15'!N21</f>
        <v>0</v>
      </c>
      <c r="M57" s="103">
        <f>+'ENERO-15'!O21+'FEBRERO-15'!O21+'MARZO-15'!O21+'ABRIL-15'!O21+'MAYO-15'!O21+'JUNIO-15'!O21+'JULIO-15'!O21+'AGOSTO-15'!O21+'SETIEMBRE-15'!O21+'OCTUBRE-15'!O21+'NOVIEMBRE-15'!O21+'DICIEMBRE-15'!O21</f>
        <v>30864.869999999995</v>
      </c>
      <c r="N57" s="103">
        <f>+'ENERO-15'!P21+'FEBRERO-15'!P21+'MARZO-15'!P21+'ABRIL-15'!P21+'MAYO-15'!P21+'JUNIO-15'!P21+'JULIO-15'!P21+'AGOSTO-15'!P21+'SETIEMBRE-15'!P21+'OCTUBRE-15'!P21+'NOVIEMBRE-15'!P21+'DICIEMBRE-15'!P21</f>
        <v>26264.489999999998</v>
      </c>
      <c r="O57" s="103">
        <f>+'ENERO-15'!Q21+'FEBRERO-15'!Q21+'MARZO-15'!Q21+'ABRIL-15'!Q21+'MAYO-15'!Q21+'JUNIO-15'!Q21+'JULIO-15'!Q21+'AGOSTO-15'!Q21+'SETIEMBRE-15'!Q21+'OCTUBRE-15'!Q21+'NOVIEMBRE-15'!Q21+'DICIEMBRE-15'!Q21</f>
        <v>2363.8040999999998</v>
      </c>
      <c r="P57" s="103">
        <f>+'ENERO-15'!R21+'FEBRERO-15'!R21+'MARZO-15'!R21+'ABRIL-15'!R21+'MAYO-15'!R21+'JUNIO-15'!R21+'JULIO-15'!R21+'AGOSTO-15'!R21+'SETIEMBRE-15'!R21+'OCTUBRE-15'!R21+'NOVIEMBRE-15'!R21+'DICIEMBRE-15'!R21</f>
        <v>0</v>
      </c>
      <c r="Q57" s="103">
        <f>+'ENERO-15'!S21+'FEBRERO-15'!S21+'MARZO-15'!S21+'ABRIL-15'!S21+'MAYO-15'!S21+'JUNIO-15'!S21+'JULIO-15'!S21+'AGOSTO-15'!S21+'SETIEMBRE-15'!S21+'OCTUBRE-15'!S21+'NOVIEMBRE-15'!S21+'DICIEMBRE-15'!S21</f>
        <v>2363.8040999999998</v>
      </c>
    </row>
    <row r="58" spans="1:17" ht="15" customHeight="1">
      <c r="A58" s="114" t="s">
        <v>93</v>
      </c>
      <c r="B58" s="101" t="s">
        <v>44</v>
      </c>
      <c r="C58" s="103">
        <f>+'ENERO-15'!E22+'FEBRERO-15'!E22+'MARZO-15'!E22+'ABRIL-15'!E22+'MAYO-15'!E22+'JUNIO-15'!E22+'JULIO-15'!E22+'AGOSTO-15'!E22+'SETIEMBRE-15'!E22+'OCTUBRE-15'!E22+'NOVIEMBRE-15'!E22+'DICIEMBRE-15'!E22</f>
        <v>16660</v>
      </c>
      <c r="D58" s="103">
        <f>+'ENERO-15'!F22+'FEBRERO-15'!F22+'MARZO-15'!F22+'ABRIL-15'!F22+'MAYO-15'!F22+'JUNIO-15'!F22+'JULIO-15'!F22+'AGOSTO-15'!F22+'SETIEMBRE-15'!F22+'OCTUBRE-15'!F22+'NOVIEMBRE-15'!F22+'DICIEMBRE-15'!F22</f>
        <v>3965.4199999999996</v>
      </c>
      <c r="E58" s="103">
        <f>+'ENERO-15'!G22+'FEBRERO-15'!G22+'MARZO-15'!G22+'ABRIL-15'!G22+'MAYO-15'!G22+'JUNIO-15'!G22+'JULIO-15'!G22+'AGOSTO-15'!G22+'SETIEMBRE-15'!G22+'OCTUBRE-15'!G22+'NOVIEMBRE-15'!G22+'DICIEMBRE-15'!G22</f>
        <v>0</v>
      </c>
      <c r="F58" s="103">
        <f>+'ENERO-15'!H22+'FEBRERO-15'!H22+'MARZO-15'!H22+'ABRIL-15'!H22+'MAYO-15'!H22+'JUNIO-15'!H22+'JULIO-15'!H22+'AGOSTO-15'!H22+'SETIEMBRE-15'!H22+'OCTUBRE-15'!H22+'NOVIEMBRE-15'!H22+'DICIEMBRE-15'!H22</f>
        <v>0</v>
      </c>
      <c r="G58" s="103">
        <f>+'ENERO-15'!I22+'FEBRERO-15'!I22+'MARZO-15'!I22+'ABRIL-15'!I22+'MAYO-15'!I22+'JUNIO-15'!I22+'JULIO-15'!I22+'AGOSTO-15'!I22+'SETIEMBRE-15'!I22+'OCTUBRE-15'!I22+'NOVIEMBRE-15'!I22+'DICIEMBRE-15'!I22</f>
        <v>0</v>
      </c>
      <c r="H58" s="103">
        <f>+'ENERO-15'!J22+'FEBRERO-15'!J22+'MARZO-15'!J22+'ABRIL-15'!J22+'MAYO-15'!J22+'JUNIO-15'!J22+'JULIO-15'!J22+'AGOSTO-15'!J22+'SETIEMBRE-15'!J22+'OCTUBRE-15'!J22+'NOVIEMBRE-15'!J22+'DICIEMBRE-15'!J22</f>
        <v>1897.69</v>
      </c>
      <c r="I58" s="103">
        <f>+'ENERO-15'!K22+'FEBRERO-15'!K22+'MARZO-15'!K22+'ABRIL-15'!K22+'MAYO-15'!K22+'JUNIO-15'!K22+'JULIO-15'!K22+'AGOSTO-15'!K22+'SETIEMBRE-15'!K22+'OCTUBRE-15'!K22+'NOVIEMBRE-15'!K22+'DICIEMBRE-15'!K22</f>
        <v>1741</v>
      </c>
      <c r="J58" s="103">
        <f>+'ENERO-15'!L22+'FEBRERO-15'!L22+'MARZO-15'!L22+'ABRIL-15'!L22+'MAYO-15'!L22+'JUNIO-15'!L22+'JULIO-15'!L22+'AGOSTO-15'!L22+'SETIEMBRE-15'!L22+'OCTUBRE-15'!L22+'NOVIEMBRE-15'!L22+'DICIEMBRE-15'!L22</f>
        <v>0</v>
      </c>
      <c r="K58" s="103">
        <f>+'ENERO-15'!M22+'FEBRERO-15'!M22+'MARZO-15'!M22+'ABRIL-15'!M22+'MAYO-15'!M22+'JUNIO-15'!M22+'JULIO-15'!M22+'AGOSTO-15'!M22+'SETIEMBRE-15'!M22+'OCTUBRE-15'!M22+'NOVIEMBRE-15'!M22+'DICIEMBRE-15'!M22</f>
        <v>701.5</v>
      </c>
      <c r="L58" s="103">
        <f>+'ENERO-15'!N22+'FEBRERO-15'!N22+'MARZO-15'!N22+'ABRIL-15'!N22+'MAYO-15'!N22+'JUNIO-15'!N22+'JULIO-15'!N22+'AGOSTO-15'!N22+'SETIEMBRE-15'!N22+'OCTUBRE-15'!N22+'NOVIEMBRE-15'!N22+'DICIEMBRE-15'!N22</f>
        <v>0</v>
      </c>
      <c r="M58" s="103">
        <f>+'ENERO-15'!O22+'FEBRERO-15'!O22+'MARZO-15'!O22+'ABRIL-15'!O22+'MAYO-15'!O22+'JUNIO-15'!O22+'JULIO-15'!O22+'AGOSTO-15'!O22+'SETIEMBRE-15'!O22+'OCTUBRE-15'!O22+'NOVIEMBRE-15'!O22+'DICIEMBRE-15'!O22</f>
        <v>24965.610000000004</v>
      </c>
      <c r="N58" s="103">
        <f>+'ENERO-15'!P22+'FEBRERO-15'!P22+'MARZO-15'!P22+'ABRIL-15'!P22+'MAYO-15'!P22+'JUNIO-15'!P22+'JULIO-15'!P22+'AGOSTO-15'!P22+'SETIEMBRE-15'!P22+'OCTUBRE-15'!P22+'NOVIEMBRE-15'!P22+'DICIEMBRE-15'!P22</f>
        <v>22366.42</v>
      </c>
      <c r="O58" s="103">
        <f>+'ENERO-15'!Q22+'FEBRERO-15'!Q22+'MARZO-15'!Q22+'ABRIL-15'!Q22+'MAYO-15'!Q22+'JUNIO-15'!Q22+'JULIO-15'!Q22+'AGOSTO-15'!Q22+'SETIEMBRE-15'!Q22+'OCTUBRE-15'!Q22+'NOVIEMBRE-15'!Q22+'DICIEMBRE-15'!Q22</f>
        <v>2012.9777999999997</v>
      </c>
      <c r="P58" s="103">
        <f>+'ENERO-15'!R22+'FEBRERO-15'!R22+'MARZO-15'!R22+'ABRIL-15'!R22+'MAYO-15'!R22+'JUNIO-15'!R22+'JULIO-15'!R22+'AGOSTO-15'!R22+'SETIEMBRE-15'!R22+'OCTUBRE-15'!R22+'NOVIEMBRE-15'!R22+'DICIEMBRE-15'!R22</f>
        <v>0</v>
      </c>
      <c r="Q58" s="103">
        <f>+'ENERO-15'!S22+'FEBRERO-15'!S22+'MARZO-15'!S22+'ABRIL-15'!S22+'MAYO-15'!S22+'JUNIO-15'!S22+'JULIO-15'!S22+'AGOSTO-15'!S22+'SETIEMBRE-15'!S22+'OCTUBRE-15'!S22+'NOVIEMBRE-15'!S22+'DICIEMBRE-15'!S22</f>
        <v>2012.9777999999997</v>
      </c>
    </row>
    <row r="59" spans="1:17" ht="15" customHeight="1">
      <c r="A59" s="114" t="s">
        <v>94</v>
      </c>
      <c r="B59" s="101" t="s">
        <v>11</v>
      </c>
      <c r="C59" s="103">
        <f>+'ENERO-15'!E23+'FEBRERO-15'!E23+'MARZO-15'!E23+'ABRIL-15'!E23+'MAYO-15'!E23+'JUNIO-15'!E23+'JULIO-15'!E23+'AGOSTO-15'!E23+'SETIEMBRE-15'!E23+'OCTUBRE-15'!E23+'NOVIEMBRE-15'!E23+'DICIEMBRE-15'!E23</f>
        <v>18990</v>
      </c>
      <c r="D59" s="103">
        <f>+'ENERO-15'!F23+'FEBRERO-15'!F23+'MARZO-15'!F23+'ABRIL-15'!F23+'MAYO-15'!F23+'JUNIO-15'!F23+'JULIO-15'!F23+'AGOSTO-15'!F23+'SETIEMBRE-15'!F23+'OCTUBRE-15'!F23+'NOVIEMBRE-15'!F23+'DICIEMBRE-15'!F23</f>
        <v>1954</v>
      </c>
      <c r="E59" s="103">
        <f>+'ENERO-15'!G23+'FEBRERO-15'!G23+'MARZO-15'!G23+'ABRIL-15'!G23+'MAYO-15'!G23+'JUNIO-15'!G23+'JULIO-15'!G23+'AGOSTO-15'!G23+'SETIEMBRE-15'!G23+'OCTUBRE-15'!G23+'NOVIEMBRE-15'!G23+'DICIEMBRE-15'!G23</f>
        <v>0</v>
      </c>
      <c r="F59" s="103">
        <f>+'ENERO-15'!H23+'FEBRERO-15'!H23+'MARZO-15'!H23+'ABRIL-15'!H23+'MAYO-15'!H23+'JUNIO-15'!H23+'JULIO-15'!H23+'AGOSTO-15'!H23+'SETIEMBRE-15'!H23+'OCTUBRE-15'!H23+'NOVIEMBRE-15'!H23+'DICIEMBRE-15'!H23</f>
        <v>0</v>
      </c>
      <c r="G59" s="103">
        <f>+'ENERO-15'!I23+'FEBRERO-15'!I23+'MARZO-15'!I23+'ABRIL-15'!I23+'MAYO-15'!I23+'JUNIO-15'!I23+'JULIO-15'!I23+'AGOSTO-15'!I23+'SETIEMBRE-15'!I23+'OCTUBRE-15'!I23+'NOVIEMBRE-15'!I23+'DICIEMBRE-15'!I23</f>
        <v>0</v>
      </c>
      <c r="H59" s="103">
        <f>+'ENERO-15'!J23+'FEBRERO-15'!J23+'MARZO-15'!J23+'ABRIL-15'!J23+'MAYO-15'!J23+'JUNIO-15'!J23+'JULIO-15'!J23+'AGOSTO-15'!J23+'SETIEMBRE-15'!J23+'OCTUBRE-15'!J23+'NOVIEMBRE-15'!J23+'DICIEMBRE-15'!J23</f>
        <v>2151.66</v>
      </c>
      <c r="I59" s="103">
        <f>+'ENERO-15'!K23+'FEBRERO-15'!K23+'MARZO-15'!K23+'ABRIL-15'!K23+'MAYO-15'!K23+'JUNIO-15'!K23+'JULIO-15'!K23+'AGOSTO-15'!K23+'SETIEMBRE-15'!K23+'OCTUBRE-15'!K23+'NOVIEMBRE-15'!K23+'DICIEMBRE-15'!K23</f>
        <v>0</v>
      </c>
      <c r="J59" s="103">
        <f>+'ENERO-15'!L23+'FEBRERO-15'!L23+'MARZO-15'!L23+'ABRIL-15'!L23+'MAYO-15'!L23+'JUNIO-15'!L23+'JULIO-15'!L23+'AGOSTO-15'!L23+'SETIEMBRE-15'!L23+'OCTUBRE-15'!L23+'NOVIEMBRE-15'!L23+'DICIEMBRE-15'!L23</f>
        <v>0</v>
      </c>
      <c r="K59" s="103">
        <f>+'ENERO-15'!M23+'FEBRERO-15'!M23+'MARZO-15'!M23+'ABRIL-15'!M23+'MAYO-15'!M23+'JUNIO-15'!M23+'JULIO-15'!M23+'AGOSTO-15'!M23+'SETIEMBRE-15'!M23+'OCTUBRE-15'!M23+'NOVIEMBRE-15'!M23+'DICIEMBRE-15'!M23</f>
        <v>0</v>
      </c>
      <c r="L59" s="103">
        <f>+'ENERO-15'!N23+'FEBRERO-15'!N23+'MARZO-15'!N23+'ABRIL-15'!N23+'MAYO-15'!N23+'JUNIO-15'!N23+'JULIO-15'!N23+'AGOSTO-15'!N23+'SETIEMBRE-15'!N23+'OCTUBRE-15'!N23+'NOVIEMBRE-15'!N23+'DICIEMBRE-15'!N23</f>
        <v>0</v>
      </c>
      <c r="M59" s="103">
        <f>+'ENERO-15'!O23+'FEBRERO-15'!O23+'MARZO-15'!O23+'ABRIL-15'!O23+'MAYO-15'!O23+'JUNIO-15'!O23+'JULIO-15'!O23+'AGOSTO-15'!O23+'SETIEMBRE-15'!O23+'OCTUBRE-15'!O23+'NOVIEMBRE-15'!O23+'DICIEMBRE-15'!O23</f>
        <v>23095.66</v>
      </c>
      <c r="N59" s="103">
        <f>+'ENERO-15'!P23+'FEBRERO-15'!P23+'MARZO-15'!P23+'ABRIL-15'!P23+'MAYO-15'!P23+'JUNIO-15'!P23+'JULIO-15'!P23+'AGOSTO-15'!P23+'SETIEMBRE-15'!P23+'OCTUBRE-15'!P23+'NOVIEMBRE-15'!P23+'DICIEMBRE-15'!P23</f>
        <v>20944</v>
      </c>
      <c r="O59" s="103">
        <f>+'ENERO-15'!Q23+'FEBRERO-15'!Q23+'MARZO-15'!Q23+'ABRIL-15'!Q23+'MAYO-15'!Q23+'JUNIO-15'!Q23+'JULIO-15'!Q23+'AGOSTO-15'!Q23+'SETIEMBRE-15'!Q23+'OCTUBRE-15'!Q23+'NOVIEMBRE-15'!Q23+'DICIEMBRE-15'!Q23</f>
        <v>1884.96</v>
      </c>
      <c r="P59" s="103">
        <f>+'ENERO-15'!R23+'FEBRERO-15'!R23+'MARZO-15'!R23+'ABRIL-15'!R23+'MAYO-15'!R23+'JUNIO-15'!R23+'JULIO-15'!R23+'AGOSTO-15'!R23+'SETIEMBRE-15'!R23+'OCTUBRE-15'!R23+'NOVIEMBRE-15'!R23+'DICIEMBRE-15'!R23</f>
        <v>0</v>
      </c>
      <c r="Q59" s="103">
        <f>+'ENERO-15'!S23+'FEBRERO-15'!S23+'MARZO-15'!S23+'ABRIL-15'!S23+'MAYO-15'!S23+'JUNIO-15'!S23+'JULIO-15'!S23+'AGOSTO-15'!S23+'SETIEMBRE-15'!S23+'OCTUBRE-15'!S23+'NOVIEMBRE-15'!S23+'DICIEMBRE-15'!S23</f>
        <v>1884.96</v>
      </c>
    </row>
    <row r="60" spans="1:17" ht="15" customHeight="1">
      <c r="A60" s="114" t="s">
        <v>95</v>
      </c>
      <c r="B60" s="101" t="s">
        <v>45</v>
      </c>
      <c r="C60" s="103">
        <f>+'ENERO-15'!E24+'FEBRERO-15'!E24+'MARZO-15'!E24+'ABRIL-15'!E24+'MAYO-15'!E24+'JUNIO-15'!E24+'JULIO-15'!E24+'AGOSTO-15'!E24+'SETIEMBRE-15'!E24+'OCTUBRE-15'!E24+'NOVIEMBRE-15'!E24+'DICIEMBRE-15'!E24</f>
        <v>17244</v>
      </c>
      <c r="D60" s="103">
        <f>+'ENERO-15'!F24+'FEBRERO-15'!F24+'MARZO-15'!F24+'ABRIL-15'!F24+'MAYO-15'!F24+'JUNIO-15'!F24+'JULIO-15'!F24+'AGOSTO-15'!F24+'SETIEMBRE-15'!F24+'OCTUBRE-15'!F24+'NOVIEMBRE-15'!F24+'DICIEMBRE-15'!F24</f>
        <v>2726</v>
      </c>
      <c r="E60" s="103">
        <f>+'ENERO-15'!G24+'FEBRERO-15'!G24+'MARZO-15'!G24+'ABRIL-15'!G24+'MAYO-15'!G24+'JUNIO-15'!G24+'JULIO-15'!G24+'AGOSTO-15'!G24+'SETIEMBRE-15'!G24+'OCTUBRE-15'!G24+'NOVIEMBRE-15'!G24+'DICIEMBRE-15'!G24</f>
        <v>909.25</v>
      </c>
      <c r="F60" s="103">
        <f>+'ENERO-15'!H24+'FEBRERO-15'!H24+'MARZO-15'!H24+'ABRIL-15'!H24+'MAYO-15'!H24+'JUNIO-15'!H24+'JULIO-15'!H24+'AGOSTO-15'!H24+'SETIEMBRE-15'!H24+'OCTUBRE-15'!H24+'NOVIEMBRE-15'!H24+'DICIEMBRE-15'!H24</f>
        <v>0</v>
      </c>
      <c r="G60" s="103">
        <f>+'ENERO-15'!I24+'FEBRERO-15'!I24+'MARZO-15'!I24+'ABRIL-15'!I24+'MAYO-15'!I24+'JUNIO-15'!I24+'JULIO-15'!I24+'AGOSTO-15'!I24+'SETIEMBRE-15'!I24+'OCTUBRE-15'!I24+'NOVIEMBRE-15'!I24+'DICIEMBRE-15'!I24</f>
        <v>0</v>
      </c>
      <c r="H60" s="103">
        <f>+'ENERO-15'!J24+'FEBRERO-15'!J24+'MARZO-15'!J24+'ABRIL-15'!J24+'MAYO-15'!J24+'JUNIO-15'!J24+'JULIO-15'!J24+'AGOSTO-15'!J24+'SETIEMBRE-15'!J24+'OCTUBRE-15'!J24+'NOVIEMBRE-15'!J24+'DICIEMBRE-15'!J24</f>
        <v>3795.38</v>
      </c>
      <c r="I60" s="103">
        <f>+'ENERO-15'!K24+'FEBRERO-15'!K24+'MARZO-15'!K24+'ABRIL-15'!K24+'MAYO-15'!K24+'JUNIO-15'!K24+'JULIO-15'!K24+'AGOSTO-15'!K24+'SETIEMBRE-15'!K24+'OCTUBRE-15'!K24+'NOVIEMBRE-15'!K24+'DICIEMBRE-15'!K24</f>
        <v>1741</v>
      </c>
      <c r="J60" s="103">
        <f>+'ENERO-15'!L24+'FEBRERO-15'!L24+'MARZO-15'!L24+'ABRIL-15'!L24+'MAYO-15'!L24+'JUNIO-15'!L24+'JULIO-15'!L24+'AGOSTO-15'!L24+'SETIEMBRE-15'!L24+'OCTUBRE-15'!L24+'NOVIEMBRE-15'!L24+'DICIEMBRE-15'!L24</f>
        <v>0</v>
      </c>
      <c r="K60" s="103">
        <f>+'ENERO-15'!M24+'FEBRERO-15'!M24+'MARZO-15'!M24+'ABRIL-15'!M24+'MAYO-15'!M24+'JUNIO-15'!M24+'JULIO-15'!M24+'AGOSTO-15'!M24+'SETIEMBRE-15'!M24+'OCTUBRE-15'!M24+'NOVIEMBRE-15'!M24+'DICIEMBRE-15'!M24</f>
        <v>0</v>
      </c>
      <c r="L60" s="103">
        <f>+'ENERO-15'!N24+'FEBRERO-15'!N24+'MARZO-15'!N24+'ABRIL-15'!N24+'MAYO-15'!N24+'JUNIO-15'!N24+'JULIO-15'!N24+'AGOSTO-15'!N24+'SETIEMBRE-15'!N24+'OCTUBRE-15'!N24+'NOVIEMBRE-15'!N24+'DICIEMBRE-15'!N24</f>
        <v>1082</v>
      </c>
      <c r="M60" s="103">
        <f>+'ENERO-15'!O24+'FEBRERO-15'!O24+'MARZO-15'!O24+'ABRIL-15'!O24+'MAYO-15'!O24+'JUNIO-15'!O24+'JULIO-15'!O24+'AGOSTO-15'!O24+'SETIEMBRE-15'!O24+'OCTUBRE-15'!O24+'NOVIEMBRE-15'!O24+'DICIEMBRE-15'!O24</f>
        <v>27497.63</v>
      </c>
      <c r="N60" s="103">
        <f>+'ENERO-15'!P24+'FEBRERO-15'!P24+'MARZO-15'!P24+'ABRIL-15'!P24+'MAYO-15'!P24+'JUNIO-15'!P24+'JULIO-15'!P24+'AGOSTO-15'!P24+'SETIEMBRE-15'!P24+'OCTUBRE-15'!P24+'NOVIEMBRE-15'!P24+'DICIEMBRE-15'!P24</f>
        <v>23702.25</v>
      </c>
      <c r="O60" s="103">
        <f>+'ENERO-15'!Q24+'FEBRERO-15'!Q24+'MARZO-15'!Q24+'ABRIL-15'!Q24+'MAYO-15'!Q24+'JUNIO-15'!Q24+'JULIO-15'!Q24+'AGOSTO-15'!Q24+'SETIEMBRE-15'!Q24+'OCTUBRE-15'!Q24+'NOVIEMBRE-15'!Q24+'DICIEMBRE-15'!Q24</f>
        <v>2133.2024999999999</v>
      </c>
      <c r="P60" s="103">
        <f>+'ENERO-15'!R24+'FEBRERO-15'!R24+'MARZO-15'!R24+'ABRIL-15'!R24+'MAYO-15'!R24+'JUNIO-15'!R24+'JULIO-15'!R24+'AGOSTO-15'!R24+'SETIEMBRE-15'!R24+'OCTUBRE-15'!R24+'NOVIEMBRE-15'!R24+'DICIEMBRE-15'!R24</f>
        <v>0</v>
      </c>
      <c r="Q60" s="103">
        <f>+'ENERO-15'!S24+'FEBRERO-15'!S24+'MARZO-15'!S24+'ABRIL-15'!S24+'MAYO-15'!S24+'JUNIO-15'!S24+'JULIO-15'!S24+'AGOSTO-15'!S24+'SETIEMBRE-15'!S24+'OCTUBRE-15'!S24+'NOVIEMBRE-15'!S24+'DICIEMBRE-15'!S24</f>
        <v>2133.2024999999999</v>
      </c>
    </row>
    <row r="61" spans="1:17" ht="15" customHeight="1">
      <c r="A61" s="114" t="s">
        <v>96</v>
      </c>
      <c r="B61" s="101" t="s">
        <v>46</v>
      </c>
      <c r="C61" s="103">
        <f>+'ENERO-15'!E25+'FEBRERO-15'!E25+'MARZO-15'!E25+'ABRIL-15'!E25+'MAYO-15'!E25+'JUNIO-15'!E25+'JULIO-15'!E25+'AGOSTO-15'!E25+'SETIEMBRE-15'!E25+'OCTUBRE-15'!E25+'NOVIEMBRE-15'!E25+'DICIEMBRE-15'!E25</f>
        <v>22176</v>
      </c>
      <c r="D61" s="103">
        <f>+'ENERO-15'!F25+'FEBRERO-15'!F25+'MARZO-15'!F25+'ABRIL-15'!F25+'MAYO-15'!F25+'JUNIO-15'!F25+'JULIO-15'!F25+'AGOSTO-15'!F25+'SETIEMBRE-15'!F25+'OCTUBRE-15'!F25+'NOVIEMBRE-15'!F25+'DICIEMBRE-15'!F25</f>
        <v>4914.2000000000007</v>
      </c>
      <c r="E61" s="103">
        <f>+'ENERO-15'!G25+'FEBRERO-15'!G25+'MARZO-15'!G25+'ABRIL-15'!G25+'MAYO-15'!G25+'JUNIO-15'!G25+'JULIO-15'!G25+'AGOSTO-15'!G25+'SETIEMBRE-15'!G25+'OCTUBRE-15'!G25+'NOVIEMBRE-15'!G25+'DICIEMBRE-15'!G25</f>
        <v>909.25</v>
      </c>
      <c r="F61" s="103">
        <f>+'ENERO-15'!H25+'FEBRERO-15'!H25+'MARZO-15'!H25+'ABRIL-15'!H25+'MAYO-15'!H25+'JUNIO-15'!H25+'JULIO-15'!H25+'AGOSTO-15'!H25+'SETIEMBRE-15'!H25+'OCTUBRE-15'!H25+'NOVIEMBRE-15'!H25+'DICIEMBRE-15'!H25</f>
        <v>0</v>
      </c>
      <c r="G61" s="103">
        <f>+'ENERO-15'!I25+'FEBRERO-15'!I25+'MARZO-15'!I25+'ABRIL-15'!I25+'MAYO-15'!I25+'JUNIO-15'!I25+'JULIO-15'!I25+'AGOSTO-15'!I25+'SETIEMBRE-15'!I25+'OCTUBRE-15'!I25+'NOVIEMBRE-15'!I25+'DICIEMBRE-15'!I25</f>
        <v>0</v>
      </c>
      <c r="H61" s="103">
        <f>+'ENERO-15'!J25+'FEBRERO-15'!J25+'MARZO-15'!J25+'ABRIL-15'!J25+'MAYO-15'!J25+'JUNIO-15'!J25+'JULIO-15'!J25+'AGOSTO-15'!J25+'SETIEMBRE-15'!J25+'OCTUBRE-15'!J25+'NOVIEMBRE-15'!J25+'DICIEMBRE-15'!J25</f>
        <v>4285.3</v>
      </c>
      <c r="I61" s="103">
        <f>+'ENERO-15'!K25+'FEBRERO-15'!K25+'MARZO-15'!K25+'ABRIL-15'!K25+'MAYO-15'!K25+'JUNIO-15'!K25+'JULIO-15'!K25+'AGOSTO-15'!K25+'SETIEMBRE-15'!K25+'OCTUBRE-15'!K25+'NOVIEMBRE-15'!K25+'DICIEMBRE-15'!K25</f>
        <v>1923</v>
      </c>
      <c r="J61" s="103">
        <f>+'ENERO-15'!L25+'FEBRERO-15'!L25+'MARZO-15'!L25+'ABRIL-15'!L25+'MAYO-15'!L25+'JUNIO-15'!L25+'JULIO-15'!L25+'AGOSTO-15'!L25+'SETIEMBRE-15'!L25+'OCTUBRE-15'!L25+'NOVIEMBRE-15'!L25+'DICIEMBRE-15'!L25</f>
        <v>0</v>
      </c>
      <c r="K61" s="103">
        <f>+'ENERO-15'!M25+'FEBRERO-15'!M25+'MARZO-15'!M25+'ABRIL-15'!M25+'MAYO-15'!M25+'JUNIO-15'!M25+'JULIO-15'!M25+'AGOSTO-15'!M25+'SETIEMBRE-15'!M25+'OCTUBRE-15'!M25+'NOVIEMBRE-15'!M25+'DICIEMBRE-15'!M25</f>
        <v>471.5</v>
      </c>
      <c r="L61" s="103">
        <f>+'ENERO-15'!N25+'FEBRERO-15'!N25+'MARZO-15'!N25+'ABRIL-15'!N25+'MAYO-15'!N25+'JUNIO-15'!N25+'JULIO-15'!N25+'AGOSTO-15'!N25+'SETIEMBRE-15'!N25+'OCTUBRE-15'!N25+'NOVIEMBRE-15'!N25+'DICIEMBRE-15'!N25</f>
        <v>0</v>
      </c>
      <c r="M61" s="103">
        <f>+'ENERO-15'!O25+'FEBRERO-15'!O25+'MARZO-15'!O25+'ABRIL-15'!O25+'MAYO-15'!O25+'JUNIO-15'!O25+'JULIO-15'!O25+'AGOSTO-15'!O25+'SETIEMBRE-15'!O25+'OCTUBRE-15'!O25+'NOVIEMBRE-15'!O25+'DICIEMBRE-15'!O25</f>
        <v>34679.25</v>
      </c>
      <c r="N61" s="103">
        <f>+'ENERO-15'!P25+'FEBRERO-15'!P25+'MARZO-15'!P25+'ABRIL-15'!P25+'MAYO-15'!P25+'JUNIO-15'!P25+'JULIO-15'!P25+'AGOSTO-15'!P25+'SETIEMBRE-15'!P25+'OCTUBRE-15'!P25+'NOVIEMBRE-15'!P25+'DICIEMBRE-15'!P25</f>
        <v>29922.449999999997</v>
      </c>
      <c r="O61" s="103">
        <f>+'ENERO-15'!Q25+'FEBRERO-15'!Q25+'MARZO-15'!Q25+'ABRIL-15'!Q25+'MAYO-15'!Q25+'JUNIO-15'!Q25+'JULIO-15'!Q25+'AGOSTO-15'!Q25+'SETIEMBRE-15'!Q25+'OCTUBRE-15'!Q25+'NOVIEMBRE-15'!Q25+'DICIEMBRE-15'!Q25</f>
        <v>2693.0204999999996</v>
      </c>
      <c r="P61" s="103">
        <f>+'ENERO-15'!R25+'FEBRERO-15'!R25+'MARZO-15'!R25+'ABRIL-15'!R25+'MAYO-15'!R25+'JUNIO-15'!R25+'JULIO-15'!R25+'AGOSTO-15'!R25+'SETIEMBRE-15'!R25+'OCTUBRE-15'!R25+'NOVIEMBRE-15'!R25+'DICIEMBRE-15'!R25</f>
        <v>0</v>
      </c>
      <c r="Q61" s="103">
        <f>+'ENERO-15'!S25+'FEBRERO-15'!S25+'MARZO-15'!S25+'ABRIL-15'!S25+'MAYO-15'!S25+'JUNIO-15'!S25+'JULIO-15'!S25+'AGOSTO-15'!S25+'SETIEMBRE-15'!S25+'OCTUBRE-15'!S25+'NOVIEMBRE-15'!S25+'DICIEMBRE-15'!S25</f>
        <v>2693.0204999999996</v>
      </c>
    </row>
    <row r="62" spans="1:17" ht="15" customHeight="1">
      <c r="A62" s="114" t="s">
        <v>97</v>
      </c>
      <c r="B62" s="101" t="s">
        <v>41</v>
      </c>
      <c r="C62" s="103">
        <f>+'ENERO-15'!E26+'FEBRERO-15'!E26+'MARZO-15'!E26+'ABRIL-15'!E26+'MAYO-15'!E26+'JUNIO-15'!E26+'JULIO-15'!E26+'AGOSTO-15'!E26+'SETIEMBRE-15'!E26+'OCTUBRE-15'!E26+'NOVIEMBRE-15'!E26+'DICIEMBRE-15'!E26</f>
        <v>18480</v>
      </c>
      <c r="D62" s="103">
        <f>+'ENERO-15'!F26+'FEBRERO-15'!F26+'MARZO-15'!F26+'ABRIL-15'!F26+'MAYO-15'!F26+'JUNIO-15'!F26+'JULIO-15'!F26+'AGOSTO-15'!F26+'SETIEMBRE-15'!F26+'OCTUBRE-15'!F26+'NOVIEMBRE-15'!F26+'DICIEMBRE-15'!F26</f>
        <v>3838.4000000000005</v>
      </c>
      <c r="E62" s="103">
        <f>+'ENERO-15'!G26+'FEBRERO-15'!G26+'MARZO-15'!G26+'ABRIL-15'!G26+'MAYO-15'!G26+'JUNIO-15'!G26+'JULIO-15'!G26+'AGOSTO-15'!G26+'SETIEMBRE-15'!G26+'OCTUBRE-15'!G26+'NOVIEMBRE-15'!G26+'DICIEMBRE-15'!G26</f>
        <v>0</v>
      </c>
      <c r="F62" s="103">
        <f>+'ENERO-15'!H26+'FEBRERO-15'!H26+'MARZO-15'!H26+'ABRIL-15'!H26+'MAYO-15'!H26+'JUNIO-15'!H26+'JULIO-15'!H26+'AGOSTO-15'!H26+'SETIEMBRE-15'!H26+'OCTUBRE-15'!H26+'NOVIEMBRE-15'!H26+'DICIEMBRE-15'!H26</f>
        <v>0</v>
      </c>
      <c r="G62" s="103">
        <f>+'ENERO-15'!I26+'FEBRERO-15'!I26+'MARZO-15'!I26+'ABRIL-15'!I26+'MAYO-15'!I26+'JUNIO-15'!I26+'JULIO-15'!I26+'AGOSTO-15'!I26+'SETIEMBRE-15'!I26+'OCTUBRE-15'!I26+'NOVIEMBRE-15'!I26+'DICIEMBRE-15'!I26</f>
        <v>0</v>
      </c>
      <c r="H62" s="103">
        <f>+'ENERO-15'!J26+'FEBRERO-15'!J26+'MARZO-15'!J26+'ABRIL-15'!J26+'MAYO-15'!J26+'JUNIO-15'!J26+'JULIO-15'!J26+'AGOSTO-15'!J26+'SETIEMBRE-15'!J26+'OCTUBRE-15'!J26+'NOVIEMBRE-15'!J26+'DICIEMBRE-15'!J26</f>
        <v>2103.84</v>
      </c>
      <c r="I62" s="103">
        <f>+'ENERO-15'!K26+'FEBRERO-15'!K26+'MARZO-15'!K26+'ABRIL-15'!K26+'MAYO-15'!K26+'JUNIO-15'!K26+'JULIO-15'!K26+'AGOSTO-15'!K26+'SETIEMBRE-15'!K26+'OCTUBRE-15'!K26+'NOVIEMBRE-15'!K26+'DICIEMBRE-15'!K26</f>
        <v>0</v>
      </c>
      <c r="J62" s="103">
        <f>+'ENERO-15'!L26+'FEBRERO-15'!L26+'MARZO-15'!L26+'ABRIL-15'!L26+'MAYO-15'!L26+'JUNIO-15'!L26+'JULIO-15'!L26+'AGOSTO-15'!L26+'SETIEMBRE-15'!L26+'OCTUBRE-15'!L26+'NOVIEMBRE-15'!L26+'DICIEMBRE-15'!L26</f>
        <v>0</v>
      </c>
      <c r="K62" s="103">
        <f>+'ENERO-15'!M26+'FEBRERO-15'!M26+'MARZO-15'!M26+'ABRIL-15'!M26+'MAYO-15'!M26+'JUNIO-15'!M26+'JULIO-15'!M26+'AGOSTO-15'!M26+'SETIEMBRE-15'!M26+'OCTUBRE-15'!M26+'NOVIEMBRE-15'!M26+'DICIEMBRE-15'!M26</f>
        <v>793.5</v>
      </c>
      <c r="L62" s="103">
        <f>+'ENERO-15'!N26+'FEBRERO-15'!N26+'MARZO-15'!N26+'ABRIL-15'!N26+'MAYO-15'!N26+'JUNIO-15'!N26+'JULIO-15'!N26+'AGOSTO-15'!N26+'SETIEMBRE-15'!N26+'OCTUBRE-15'!N26+'NOVIEMBRE-15'!N26+'DICIEMBRE-15'!N26</f>
        <v>0</v>
      </c>
      <c r="M62" s="103">
        <f>+'ENERO-15'!O26+'FEBRERO-15'!O26+'MARZO-15'!O26+'ABRIL-15'!O26+'MAYO-15'!O26+'JUNIO-15'!O26+'JULIO-15'!O26+'AGOSTO-15'!O26+'SETIEMBRE-15'!O26+'OCTUBRE-15'!O26+'NOVIEMBRE-15'!O26+'DICIEMBRE-15'!O26</f>
        <v>25215.74</v>
      </c>
      <c r="N62" s="103">
        <f>+'ENERO-15'!P26+'FEBRERO-15'!P26+'MARZO-15'!P26+'ABRIL-15'!P26+'MAYO-15'!P26+'JUNIO-15'!P26+'JULIO-15'!P26+'AGOSTO-15'!P26+'SETIEMBRE-15'!P26+'OCTUBRE-15'!P26+'NOVIEMBRE-15'!P26+'DICIEMBRE-15'!P26</f>
        <v>22318.399999999998</v>
      </c>
      <c r="O62" s="103">
        <f>+'ENERO-15'!Q26+'FEBRERO-15'!Q26+'MARZO-15'!Q26+'ABRIL-15'!Q26+'MAYO-15'!Q26+'JUNIO-15'!Q26+'JULIO-15'!Q26+'AGOSTO-15'!Q26+'SETIEMBRE-15'!Q26+'OCTUBRE-15'!Q26+'NOVIEMBRE-15'!Q26+'DICIEMBRE-15'!Q26</f>
        <v>2008.6560000000002</v>
      </c>
      <c r="P62" s="103">
        <f>+'ENERO-15'!R26+'FEBRERO-15'!R26+'MARZO-15'!R26+'ABRIL-15'!R26+'MAYO-15'!R26+'JUNIO-15'!R26+'JULIO-15'!R26+'AGOSTO-15'!R26+'SETIEMBRE-15'!R26+'OCTUBRE-15'!R26+'NOVIEMBRE-15'!R26+'DICIEMBRE-15'!R26</f>
        <v>0</v>
      </c>
      <c r="Q62" s="103">
        <f>+'ENERO-15'!S26+'FEBRERO-15'!S26+'MARZO-15'!S26+'ABRIL-15'!S26+'MAYO-15'!S26+'JUNIO-15'!S26+'JULIO-15'!S26+'AGOSTO-15'!S26+'SETIEMBRE-15'!S26+'OCTUBRE-15'!S26+'NOVIEMBRE-15'!S26+'DICIEMBRE-15'!S26</f>
        <v>2008.6560000000002</v>
      </c>
    </row>
    <row r="63" spans="1:17" ht="15" customHeight="1">
      <c r="A63" s="114" t="s">
        <v>98</v>
      </c>
      <c r="B63" s="101" t="s">
        <v>13</v>
      </c>
      <c r="C63" s="103">
        <f>+'ENERO-15'!E27+'FEBRERO-15'!E27+'MARZO-15'!E27+'ABRIL-15'!E27+'MAYO-15'!E27+'JUNIO-15'!E27+'JULIO-15'!E27+'AGOSTO-15'!E27+'SETIEMBRE-15'!E27+'OCTUBRE-15'!E27+'NOVIEMBRE-15'!E27+'DICIEMBRE-15'!E27</f>
        <v>16660</v>
      </c>
      <c r="D63" s="103">
        <f>+'ENERO-15'!F27+'FEBRERO-15'!F27+'MARZO-15'!F27+'ABRIL-15'!F27+'MAYO-15'!F27+'JUNIO-15'!F27+'JULIO-15'!F27+'AGOSTO-15'!F27+'SETIEMBRE-15'!F27+'OCTUBRE-15'!F27+'NOVIEMBRE-15'!F27+'DICIEMBRE-15'!F27</f>
        <v>1957</v>
      </c>
      <c r="E63" s="103">
        <f>+'ENERO-15'!G27+'FEBRERO-15'!G27+'MARZO-15'!G27+'ABRIL-15'!G27+'MAYO-15'!G27+'JUNIO-15'!G27+'JULIO-15'!G27+'AGOSTO-15'!G27+'SETIEMBRE-15'!G27+'OCTUBRE-15'!G27+'NOVIEMBRE-15'!G27+'DICIEMBRE-15'!G27</f>
        <v>0</v>
      </c>
      <c r="F63" s="103">
        <f>+'ENERO-15'!H27+'FEBRERO-15'!H27+'MARZO-15'!H27+'ABRIL-15'!H27+'MAYO-15'!H27+'JUNIO-15'!H27+'JULIO-15'!H27+'AGOSTO-15'!H27+'SETIEMBRE-15'!H27+'OCTUBRE-15'!H27+'NOVIEMBRE-15'!H27+'DICIEMBRE-15'!H27</f>
        <v>0</v>
      </c>
      <c r="G63" s="103">
        <f>+'ENERO-15'!I27+'FEBRERO-15'!I27+'MARZO-15'!I27+'ABRIL-15'!I27+'MAYO-15'!I27+'JUNIO-15'!I27+'JULIO-15'!I27+'AGOSTO-15'!I27+'SETIEMBRE-15'!I27+'OCTUBRE-15'!I27+'NOVIEMBRE-15'!I27+'DICIEMBRE-15'!I27</f>
        <v>0</v>
      </c>
      <c r="H63" s="103">
        <f>+'ENERO-15'!J27+'FEBRERO-15'!J27+'MARZO-15'!J27+'ABRIL-15'!J27+'MAYO-15'!J27+'JUNIO-15'!J27+'JULIO-15'!J27+'AGOSTO-15'!J27+'SETIEMBRE-15'!J27+'OCTUBRE-15'!J27+'NOVIEMBRE-15'!J27+'DICIEMBRE-15'!J27</f>
        <v>1897.69</v>
      </c>
      <c r="I63" s="103">
        <f>+'ENERO-15'!K27+'FEBRERO-15'!K27+'MARZO-15'!K27+'ABRIL-15'!K27+'MAYO-15'!K27+'JUNIO-15'!K27+'JULIO-15'!K27+'AGOSTO-15'!K27+'SETIEMBRE-15'!K27+'OCTUBRE-15'!K27+'NOVIEMBRE-15'!K27+'DICIEMBRE-15'!K27</f>
        <v>0</v>
      </c>
      <c r="J63" s="103">
        <f>+'ENERO-15'!L27+'FEBRERO-15'!L27+'MARZO-15'!L27+'ABRIL-15'!L27+'MAYO-15'!L27+'JUNIO-15'!L27+'JULIO-15'!L27+'AGOSTO-15'!L27+'SETIEMBRE-15'!L27+'OCTUBRE-15'!L27+'NOVIEMBRE-15'!L27+'DICIEMBRE-15'!L27</f>
        <v>0</v>
      </c>
      <c r="K63" s="103">
        <f>+'ENERO-15'!M27+'FEBRERO-15'!M27+'MARZO-15'!M27+'ABRIL-15'!M27+'MAYO-15'!M27+'JUNIO-15'!M27+'JULIO-15'!M27+'AGOSTO-15'!M27+'SETIEMBRE-15'!M27+'OCTUBRE-15'!M27+'NOVIEMBRE-15'!M27+'DICIEMBRE-15'!M27</f>
        <v>0</v>
      </c>
      <c r="L63" s="103">
        <f>+'ENERO-15'!N27+'FEBRERO-15'!N27+'MARZO-15'!N27+'ABRIL-15'!N27+'MAYO-15'!N27+'JUNIO-15'!N27+'JULIO-15'!N27+'AGOSTO-15'!N27+'SETIEMBRE-15'!N27+'OCTUBRE-15'!N27+'NOVIEMBRE-15'!N27+'DICIEMBRE-15'!N27</f>
        <v>0</v>
      </c>
      <c r="M63" s="103">
        <f>+'ENERO-15'!O27+'FEBRERO-15'!O27+'MARZO-15'!O27+'ABRIL-15'!O27+'MAYO-15'!O27+'JUNIO-15'!O27+'JULIO-15'!O27+'AGOSTO-15'!O27+'SETIEMBRE-15'!O27+'OCTUBRE-15'!O27+'NOVIEMBRE-15'!O27+'DICIEMBRE-15'!O27</f>
        <v>20514.690000000002</v>
      </c>
      <c r="N63" s="103">
        <f>+'ENERO-15'!P27+'FEBRERO-15'!P27+'MARZO-15'!P27+'ABRIL-15'!P27+'MAYO-15'!P27+'JUNIO-15'!P27+'JULIO-15'!P27+'AGOSTO-15'!P27+'SETIEMBRE-15'!P27+'OCTUBRE-15'!P27+'NOVIEMBRE-15'!P27+'DICIEMBRE-15'!P27</f>
        <v>18617</v>
      </c>
      <c r="O63" s="103">
        <f>+'ENERO-15'!Q27+'FEBRERO-15'!Q27+'MARZO-15'!Q27+'ABRIL-15'!Q27+'MAYO-15'!Q27+'JUNIO-15'!Q27+'JULIO-15'!Q27+'AGOSTO-15'!Q27+'SETIEMBRE-15'!Q27+'OCTUBRE-15'!Q27+'NOVIEMBRE-15'!Q27+'DICIEMBRE-15'!Q27</f>
        <v>1675.53</v>
      </c>
      <c r="P63" s="103">
        <f>+'ENERO-15'!R27+'FEBRERO-15'!R27+'MARZO-15'!R27+'ABRIL-15'!R27+'MAYO-15'!R27+'JUNIO-15'!R27+'JULIO-15'!R27+'AGOSTO-15'!R27+'SETIEMBRE-15'!R27+'OCTUBRE-15'!R27+'NOVIEMBRE-15'!R27+'DICIEMBRE-15'!R27</f>
        <v>0</v>
      </c>
      <c r="Q63" s="103">
        <f>+'ENERO-15'!S27+'FEBRERO-15'!S27+'MARZO-15'!S27+'ABRIL-15'!S27+'MAYO-15'!S27+'JUNIO-15'!S27+'JULIO-15'!S27+'AGOSTO-15'!S27+'SETIEMBRE-15'!S27+'OCTUBRE-15'!S27+'NOVIEMBRE-15'!S27+'DICIEMBRE-15'!S27</f>
        <v>1675.53</v>
      </c>
    </row>
    <row r="64" spans="1:17" ht="15" customHeight="1">
      <c r="A64" s="114" t="s">
        <v>99</v>
      </c>
      <c r="B64" s="101" t="s">
        <v>40</v>
      </c>
      <c r="C64" s="103">
        <f>+'ENERO-15'!E28+'FEBRERO-15'!E28+'MARZO-15'!E28+'ABRIL-15'!E28+'MAYO-15'!E28+'JUNIO-15'!E28+'JULIO-15'!E28+'AGOSTO-15'!E28+'SETIEMBRE-15'!E28+'OCTUBRE-15'!E28+'NOVIEMBRE-15'!E28+'DICIEMBRE-15'!E28</f>
        <v>22176</v>
      </c>
      <c r="D64" s="103">
        <f>+'ENERO-15'!F28+'FEBRERO-15'!F28+'MARZO-15'!F28+'ABRIL-15'!F28+'MAYO-15'!F28+'JUNIO-15'!F28+'JULIO-15'!F28+'AGOSTO-15'!F28+'SETIEMBRE-15'!F28+'OCTUBRE-15'!F28+'NOVIEMBRE-15'!F28+'DICIEMBRE-15'!F28</f>
        <v>2180.1999999999998</v>
      </c>
      <c r="E64" s="103">
        <f>+'ENERO-15'!G28+'FEBRERO-15'!G28+'MARZO-15'!G28+'ABRIL-15'!G28+'MAYO-15'!G28+'JUNIO-15'!G28+'JULIO-15'!G28+'AGOSTO-15'!G28+'SETIEMBRE-15'!G28+'OCTUBRE-15'!G28+'NOVIEMBRE-15'!G28+'DICIEMBRE-15'!G28</f>
        <v>0</v>
      </c>
      <c r="F64" s="103">
        <f>+'ENERO-15'!H28+'FEBRERO-15'!H28+'MARZO-15'!H28+'ABRIL-15'!H28+'MAYO-15'!H28+'JUNIO-15'!H28+'JULIO-15'!H28+'AGOSTO-15'!H28+'SETIEMBRE-15'!H28+'OCTUBRE-15'!H28+'NOVIEMBRE-15'!H28+'DICIEMBRE-15'!H28</f>
        <v>0</v>
      </c>
      <c r="G64" s="103">
        <f>+'ENERO-15'!I28+'FEBRERO-15'!I28+'MARZO-15'!I28+'ABRIL-15'!I28+'MAYO-15'!I28+'JUNIO-15'!I28+'JULIO-15'!I28+'AGOSTO-15'!I28+'SETIEMBRE-15'!I28+'OCTUBRE-15'!I28+'NOVIEMBRE-15'!I28+'DICIEMBRE-15'!I28</f>
        <v>0</v>
      </c>
      <c r="H64" s="103">
        <f>+'ENERO-15'!J28+'FEBRERO-15'!J28+'MARZO-15'!J28+'ABRIL-15'!J28+'MAYO-15'!J28+'JUNIO-15'!J28+'JULIO-15'!J28+'AGOSTO-15'!J28+'SETIEMBRE-15'!J28+'OCTUBRE-15'!J28+'NOVIEMBRE-15'!J28+'DICIEMBRE-15'!J28</f>
        <v>4180.9500000000007</v>
      </c>
      <c r="I64" s="103">
        <f>+'ENERO-15'!K28+'FEBRERO-15'!K28+'MARZO-15'!K28+'ABRIL-15'!K28+'MAYO-15'!K28+'JUNIO-15'!K28+'JULIO-15'!K28+'AGOSTO-15'!K28+'SETIEMBRE-15'!K28+'OCTUBRE-15'!K28+'NOVIEMBRE-15'!K28+'DICIEMBRE-15'!K28</f>
        <v>0</v>
      </c>
      <c r="J64" s="103">
        <f>+'ENERO-15'!L28+'FEBRERO-15'!L28+'MARZO-15'!L28+'ABRIL-15'!L28+'MAYO-15'!L28+'JUNIO-15'!L28+'JULIO-15'!L28+'AGOSTO-15'!L28+'SETIEMBRE-15'!L28+'OCTUBRE-15'!L28+'NOVIEMBRE-15'!L28+'DICIEMBRE-15'!L28</f>
        <v>0</v>
      </c>
      <c r="K64" s="103">
        <f>+'ENERO-15'!M28+'FEBRERO-15'!M28+'MARZO-15'!M28+'ABRIL-15'!M28+'MAYO-15'!M28+'JUNIO-15'!M28+'JULIO-15'!M28+'AGOSTO-15'!M28+'SETIEMBRE-15'!M28+'OCTUBRE-15'!M28+'NOVIEMBRE-15'!M28+'DICIEMBRE-15'!M28</f>
        <v>0</v>
      </c>
      <c r="L64" s="103">
        <f>+'ENERO-15'!N28+'FEBRERO-15'!N28+'MARZO-15'!N28+'ABRIL-15'!N28+'MAYO-15'!N28+'JUNIO-15'!N28+'JULIO-15'!N28+'AGOSTO-15'!N28+'SETIEMBRE-15'!N28+'OCTUBRE-15'!N28+'NOVIEMBRE-15'!N28+'DICIEMBRE-15'!N28</f>
        <v>0</v>
      </c>
      <c r="M64" s="103">
        <f>+'ENERO-15'!O28+'FEBRERO-15'!O28+'MARZO-15'!O28+'ABRIL-15'!O28+'MAYO-15'!O28+'JUNIO-15'!O28+'JULIO-15'!O28+'AGOSTO-15'!O28+'SETIEMBRE-15'!O28+'OCTUBRE-15'!O28+'NOVIEMBRE-15'!O28+'DICIEMBRE-15'!O28</f>
        <v>28537.15</v>
      </c>
      <c r="N64" s="103">
        <f>+'ENERO-15'!P28+'FEBRERO-15'!P28+'MARZO-15'!P28+'ABRIL-15'!P28+'MAYO-15'!P28+'JUNIO-15'!P28+'JULIO-15'!P28+'AGOSTO-15'!P28+'SETIEMBRE-15'!P28+'OCTUBRE-15'!P28+'NOVIEMBRE-15'!P28+'DICIEMBRE-15'!P28</f>
        <v>24356.2</v>
      </c>
      <c r="O64" s="103">
        <f>+'ENERO-15'!Q28+'FEBRERO-15'!Q28+'MARZO-15'!Q28+'ABRIL-15'!Q28+'MAYO-15'!Q28+'JUNIO-15'!Q28+'JULIO-15'!Q28+'AGOSTO-15'!Q28+'SETIEMBRE-15'!Q28+'OCTUBRE-15'!Q28+'NOVIEMBRE-15'!Q28+'DICIEMBRE-15'!Q28</f>
        <v>2192.058</v>
      </c>
      <c r="P64" s="103">
        <f>+'ENERO-15'!R28+'FEBRERO-15'!R28+'MARZO-15'!R28+'ABRIL-15'!R28+'MAYO-15'!R28+'JUNIO-15'!R28+'JULIO-15'!R28+'AGOSTO-15'!R28+'SETIEMBRE-15'!R28+'OCTUBRE-15'!R28+'NOVIEMBRE-15'!R28+'DICIEMBRE-15'!R28</f>
        <v>0</v>
      </c>
      <c r="Q64" s="103">
        <f>+'ENERO-15'!S28+'FEBRERO-15'!S28+'MARZO-15'!S28+'ABRIL-15'!S28+'MAYO-15'!S28+'JUNIO-15'!S28+'JULIO-15'!S28+'AGOSTO-15'!S28+'SETIEMBRE-15'!S28+'OCTUBRE-15'!S28+'NOVIEMBRE-15'!S28+'DICIEMBRE-15'!S28</f>
        <v>2192.058</v>
      </c>
    </row>
    <row r="65" spans="1:17" ht="15" customHeight="1">
      <c r="A65" s="114" t="s">
        <v>100</v>
      </c>
      <c r="B65" s="101" t="s">
        <v>30</v>
      </c>
      <c r="C65" s="103">
        <f>+'ENERO-15'!E29+'FEBRERO-15'!E29+'MARZO-15'!E29+'ABRIL-15'!E29+'MAYO-15'!E29+'JUNIO-15'!E29+'JULIO-15'!E29+'AGOSTO-15'!E29+'SETIEMBRE-15'!E29+'OCTUBRE-15'!E29+'NOVIEMBRE-15'!E29+'DICIEMBRE-15'!E29</f>
        <v>18480</v>
      </c>
      <c r="D65" s="103">
        <f>+'ENERO-15'!F29+'FEBRERO-15'!F29+'MARZO-15'!F29+'ABRIL-15'!F29+'MAYO-15'!F29+'JUNIO-15'!F29+'JULIO-15'!F29+'AGOSTO-15'!F29+'SETIEMBRE-15'!F29+'OCTUBRE-15'!F29+'NOVIEMBRE-15'!F29+'DICIEMBRE-15'!F29</f>
        <v>2455.6000000000004</v>
      </c>
      <c r="E65" s="103">
        <f>+'ENERO-15'!G29+'FEBRERO-15'!G29+'MARZO-15'!G29+'ABRIL-15'!G29+'MAYO-15'!G29+'JUNIO-15'!G29+'JULIO-15'!G29+'AGOSTO-15'!G29+'SETIEMBRE-15'!G29+'OCTUBRE-15'!G29+'NOVIEMBRE-15'!G29+'DICIEMBRE-15'!G29</f>
        <v>0</v>
      </c>
      <c r="F65" s="103">
        <f>+'ENERO-15'!H29+'FEBRERO-15'!H29+'MARZO-15'!H29+'ABRIL-15'!H29+'MAYO-15'!H29+'JUNIO-15'!H29+'JULIO-15'!H29+'AGOSTO-15'!H29+'SETIEMBRE-15'!H29+'OCTUBRE-15'!H29+'NOVIEMBRE-15'!H29+'DICIEMBRE-15'!H29</f>
        <v>0</v>
      </c>
      <c r="G65" s="103">
        <f>+'ENERO-15'!I29+'FEBRERO-15'!I29+'MARZO-15'!I29+'ABRIL-15'!I29+'MAYO-15'!I29+'JUNIO-15'!I29+'JULIO-15'!I29+'AGOSTO-15'!I29+'SETIEMBRE-15'!I29+'OCTUBRE-15'!I29+'NOVIEMBRE-15'!I29+'DICIEMBRE-15'!I29</f>
        <v>0</v>
      </c>
      <c r="H65" s="103">
        <f>+'ENERO-15'!J29+'FEBRERO-15'!J29+'MARZO-15'!J29+'ABRIL-15'!J29+'MAYO-15'!J29+'JUNIO-15'!J29+'JULIO-15'!J29+'AGOSTO-15'!J29+'SETIEMBRE-15'!J29+'OCTUBRE-15'!J29+'NOVIEMBRE-15'!J29+'DICIEMBRE-15'!J29</f>
        <v>2014.32</v>
      </c>
      <c r="I65" s="103">
        <f>+'ENERO-15'!K29+'FEBRERO-15'!K29+'MARZO-15'!K29+'ABRIL-15'!K29+'MAYO-15'!K29+'JUNIO-15'!K29+'JULIO-15'!K29+'AGOSTO-15'!K29+'SETIEMBRE-15'!K29+'OCTUBRE-15'!K29+'NOVIEMBRE-15'!K29+'DICIEMBRE-15'!K29</f>
        <v>0</v>
      </c>
      <c r="J65" s="103">
        <f>+'ENERO-15'!L29+'FEBRERO-15'!L29+'MARZO-15'!L29+'ABRIL-15'!L29+'MAYO-15'!L29+'JUNIO-15'!L29+'JULIO-15'!L29+'AGOSTO-15'!L29+'SETIEMBRE-15'!L29+'OCTUBRE-15'!L29+'NOVIEMBRE-15'!L29+'DICIEMBRE-15'!L29</f>
        <v>0</v>
      </c>
      <c r="K65" s="103">
        <f>+'ENERO-15'!M29+'FEBRERO-15'!M29+'MARZO-15'!M29+'ABRIL-15'!M29+'MAYO-15'!M29+'JUNIO-15'!M29+'JULIO-15'!M29+'AGOSTO-15'!M29+'SETIEMBRE-15'!M29+'OCTUBRE-15'!M29+'NOVIEMBRE-15'!M29+'DICIEMBRE-15'!M29</f>
        <v>529</v>
      </c>
      <c r="L65" s="103">
        <f>+'ENERO-15'!N29+'FEBRERO-15'!N29+'MARZO-15'!N29+'ABRIL-15'!N29+'MAYO-15'!N29+'JUNIO-15'!N29+'JULIO-15'!N29+'AGOSTO-15'!N29+'SETIEMBRE-15'!N29+'OCTUBRE-15'!N29+'NOVIEMBRE-15'!N29+'DICIEMBRE-15'!N29</f>
        <v>0</v>
      </c>
      <c r="M65" s="103">
        <f>+'ENERO-15'!O29+'FEBRERO-15'!O29+'MARZO-15'!O29+'ABRIL-15'!O29+'MAYO-15'!O29+'JUNIO-15'!O29+'JULIO-15'!O29+'AGOSTO-15'!O29+'SETIEMBRE-15'!O29+'OCTUBRE-15'!O29+'NOVIEMBRE-15'!O29+'DICIEMBRE-15'!O29</f>
        <v>23478.920000000002</v>
      </c>
      <c r="N65" s="103">
        <f>+'ENERO-15'!P29+'FEBRERO-15'!P29+'MARZO-15'!P29+'ABRIL-15'!P29+'MAYO-15'!P29+'JUNIO-15'!P29+'JULIO-15'!P29+'AGOSTO-15'!P29+'SETIEMBRE-15'!P29+'OCTUBRE-15'!P29+'NOVIEMBRE-15'!P29+'DICIEMBRE-15'!P29</f>
        <v>20935.600000000002</v>
      </c>
      <c r="O65" s="103">
        <f>+'ENERO-15'!Q29+'FEBRERO-15'!Q29+'MARZO-15'!Q29+'ABRIL-15'!Q29+'MAYO-15'!Q29+'JUNIO-15'!Q29+'JULIO-15'!Q29+'AGOSTO-15'!Q29+'SETIEMBRE-15'!Q29+'OCTUBRE-15'!Q29+'NOVIEMBRE-15'!Q29+'DICIEMBRE-15'!Q29</f>
        <v>1884.204</v>
      </c>
      <c r="P65" s="103">
        <f>+'ENERO-15'!R29+'FEBRERO-15'!R29+'MARZO-15'!R29+'ABRIL-15'!R29+'MAYO-15'!R29+'JUNIO-15'!R29+'JULIO-15'!R29+'AGOSTO-15'!R29+'SETIEMBRE-15'!R29+'OCTUBRE-15'!R29+'NOVIEMBRE-15'!R29+'DICIEMBRE-15'!R29</f>
        <v>0</v>
      </c>
      <c r="Q65" s="103">
        <f>+'ENERO-15'!S29+'FEBRERO-15'!S29+'MARZO-15'!S29+'ABRIL-15'!S29+'MAYO-15'!S29+'JUNIO-15'!S29+'JULIO-15'!S29+'AGOSTO-15'!S29+'SETIEMBRE-15'!S29+'OCTUBRE-15'!S29+'NOVIEMBRE-15'!S29+'DICIEMBRE-15'!S29</f>
        <v>1884.204</v>
      </c>
    </row>
    <row r="66" spans="1:17" ht="15" customHeight="1">
      <c r="A66" s="114" t="s">
        <v>101</v>
      </c>
      <c r="B66" s="101" t="s">
        <v>14</v>
      </c>
      <c r="C66" s="103">
        <f>+'ENERO-15'!E30+'FEBRERO-15'!E30+'MARZO-15'!E30+'ABRIL-15'!E30+'MAYO-15'!E30+'JUNIO-15'!E30+'JULIO-15'!E30+'AGOSTO-15'!E30+'SETIEMBRE-15'!E30+'OCTUBRE-15'!E30+'NOVIEMBRE-15'!E30+'DICIEMBRE-15'!E30</f>
        <v>23412</v>
      </c>
      <c r="D66" s="103">
        <f>+'ENERO-15'!F30+'FEBRERO-15'!F30+'MARZO-15'!F30+'ABRIL-15'!F30+'MAYO-15'!F30+'JUNIO-15'!F30+'JULIO-15'!F30+'AGOSTO-15'!F30+'SETIEMBRE-15'!F30+'OCTUBRE-15'!F30+'NOVIEMBRE-15'!F30+'DICIEMBRE-15'!F30</f>
        <v>3636.33</v>
      </c>
      <c r="E66" s="103">
        <f>+'ENERO-15'!G30+'FEBRERO-15'!G30+'MARZO-15'!G30+'ABRIL-15'!G30+'MAYO-15'!G30+'JUNIO-15'!G30+'JULIO-15'!G30+'AGOSTO-15'!G30+'SETIEMBRE-15'!G30+'OCTUBRE-15'!G30+'NOVIEMBRE-15'!G30+'DICIEMBRE-15'!G30</f>
        <v>0</v>
      </c>
      <c r="F66" s="103">
        <f>+'ENERO-15'!H30+'FEBRERO-15'!H30+'MARZO-15'!H30+'ABRIL-15'!H30+'MAYO-15'!H30+'JUNIO-15'!H30+'JULIO-15'!H30+'AGOSTO-15'!H30+'SETIEMBRE-15'!H30+'OCTUBRE-15'!H30+'NOVIEMBRE-15'!H30+'DICIEMBRE-15'!H30</f>
        <v>0</v>
      </c>
      <c r="G66" s="103">
        <f>+'ENERO-15'!I30+'FEBRERO-15'!I30+'MARZO-15'!I30+'ABRIL-15'!I30+'MAYO-15'!I30+'JUNIO-15'!I30+'JULIO-15'!I30+'AGOSTO-15'!I30+'SETIEMBRE-15'!I30+'OCTUBRE-15'!I30+'NOVIEMBRE-15'!I30+'DICIEMBRE-15'!I30</f>
        <v>0</v>
      </c>
      <c r="H66" s="103">
        <f>+'ENERO-15'!J30+'FEBRERO-15'!J30+'MARZO-15'!J30+'ABRIL-15'!J30+'MAYO-15'!J30+'JUNIO-15'!J30+'JULIO-15'!J30+'AGOSTO-15'!J30+'SETIEMBRE-15'!J30+'OCTUBRE-15'!J30+'NOVIEMBRE-15'!J30+'DICIEMBRE-15'!J30</f>
        <v>4478.4799999999996</v>
      </c>
      <c r="I66" s="103">
        <f>+'ENERO-15'!K30+'FEBRERO-15'!K30+'MARZO-15'!K30+'ABRIL-15'!K30+'MAYO-15'!K30+'JUNIO-15'!K30+'JULIO-15'!K30+'AGOSTO-15'!K30+'SETIEMBRE-15'!K30+'OCTUBRE-15'!K30+'NOVIEMBRE-15'!K30+'DICIEMBRE-15'!K30</f>
        <v>2026</v>
      </c>
      <c r="J66" s="103">
        <f>+'ENERO-15'!L30+'FEBRERO-15'!L30+'MARZO-15'!L30+'ABRIL-15'!L30+'MAYO-15'!L30+'JUNIO-15'!L30+'JULIO-15'!L30+'AGOSTO-15'!L30+'SETIEMBRE-15'!L30+'OCTUBRE-15'!L30+'NOVIEMBRE-15'!L30+'DICIEMBRE-15'!L30</f>
        <v>0</v>
      </c>
      <c r="K66" s="103">
        <f>+'ENERO-15'!M30+'FEBRERO-15'!M30+'MARZO-15'!M30+'ABRIL-15'!M30+'MAYO-15'!M30+'JUNIO-15'!M30+'JULIO-15'!M30+'AGOSTO-15'!M30+'SETIEMBRE-15'!M30+'OCTUBRE-15'!M30+'NOVIEMBRE-15'!M30+'DICIEMBRE-15'!M30</f>
        <v>437</v>
      </c>
      <c r="L66" s="103">
        <f>+'ENERO-15'!N30+'FEBRERO-15'!N30+'MARZO-15'!N30+'ABRIL-15'!N30+'MAYO-15'!N30+'JUNIO-15'!N30+'JULIO-15'!N30+'AGOSTO-15'!N30+'SETIEMBRE-15'!N30+'OCTUBRE-15'!N30+'NOVIEMBRE-15'!N30+'DICIEMBRE-15'!N30</f>
        <v>0</v>
      </c>
      <c r="M66" s="103">
        <f>+'ENERO-15'!O30+'FEBRERO-15'!O30+'MARZO-15'!O30+'ABRIL-15'!O30+'MAYO-15'!O30+'JUNIO-15'!O30+'JULIO-15'!O30+'AGOSTO-15'!O30+'SETIEMBRE-15'!O30+'OCTUBRE-15'!O30+'NOVIEMBRE-15'!O30+'DICIEMBRE-15'!O30</f>
        <v>33989.81</v>
      </c>
      <c r="N66" s="103">
        <f>+'ENERO-15'!P30+'FEBRERO-15'!P30+'MARZO-15'!P30+'ABRIL-15'!P30+'MAYO-15'!P30+'JUNIO-15'!P30+'JULIO-15'!P30+'AGOSTO-15'!P30+'SETIEMBRE-15'!P30+'OCTUBRE-15'!P30+'NOVIEMBRE-15'!P30+'DICIEMBRE-15'!P30</f>
        <v>29074.329999999998</v>
      </c>
      <c r="O66" s="103">
        <f>+'ENERO-15'!Q30+'FEBRERO-15'!Q30+'MARZO-15'!Q30+'ABRIL-15'!Q30+'MAYO-15'!Q30+'JUNIO-15'!Q30+'JULIO-15'!Q30+'AGOSTO-15'!Q30+'SETIEMBRE-15'!Q30+'OCTUBRE-15'!Q30+'NOVIEMBRE-15'!Q30+'DICIEMBRE-15'!Q30</f>
        <v>2616.6896999999999</v>
      </c>
      <c r="P66" s="103">
        <f>+'ENERO-15'!R30+'FEBRERO-15'!R30+'MARZO-15'!R30+'ABRIL-15'!R30+'MAYO-15'!R30+'JUNIO-15'!R30+'JULIO-15'!R30+'AGOSTO-15'!R30+'SETIEMBRE-15'!R30+'OCTUBRE-15'!R30+'NOVIEMBRE-15'!R30+'DICIEMBRE-15'!R30</f>
        <v>0</v>
      </c>
      <c r="Q66" s="103">
        <f>+'ENERO-15'!S30+'FEBRERO-15'!S30+'MARZO-15'!S30+'ABRIL-15'!S30+'MAYO-15'!S30+'JUNIO-15'!S30+'JULIO-15'!S30+'AGOSTO-15'!S30+'SETIEMBRE-15'!S30+'OCTUBRE-15'!S30+'NOVIEMBRE-15'!S30+'DICIEMBRE-15'!S30</f>
        <v>2616.6896999999999</v>
      </c>
    </row>
    <row r="67" spans="1:17" ht="15" customHeight="1">
      <c r="A67" s="114" t="s">
        <v>102</v>
      </c>
      <c r="B67" s="101" t="s">
        <v>53</v>
      </c>
      <c r="C67" s="103">
        <f>+'ENERO-15'!E31+'FEBRERO-15'!E31+'MARZO-15'!E31+'ABRIL-15'!E31+'MAYO-15'!E31+'JUNIO-15'!E31+'JULIO-15'!E31+'AGOSTO-15'!E31+'SETIEMBRE-15'!E31+'OCTUBRE-15'!E31+'NOVIEMBRE-15'!E31+'DICIEMBRE-15'!E31</f>
        <v>18480</v>
      </c>
      <c r="D67" s="103">
        <f>+'ENERO-15'!F31+'FEBRERO-15'!F31+'MARZO-15'!F31+'ABRIL-15'!F31+'MAYO-15'!F31+'JUNIO-15'!F31+'JULIO-15'!F31+'AGOSTO-15'!F31+'SETIEMBRE-15'!F31+'OCTUBRE-15'!F31+'NOVIEMBRE-15'!F31+'DICIEMBRE-15'!F31</f>
        <v>2596.8000000000002</v>
      </c>
      <c r="E67" s="103">
        <f>+'ENERO-15'!G31+'FEBRERO-15'!G31+'MARZO-15'!G31+'ABRIL-15'!G31+'MAYO-15'!G31+'JUNIO-15'!G31+'JULIO-15'!G31+'AGOSTO-15'!G31+'SETIEMBRE-15'!G31+'OCTUBRE-15'!G31+'NOVIEMBRE-15'!G31+'DICIEMBRE-15'!G31</f>
        <v>0</v>
      </c>
      <c r="F67" s="103">
        <f>+'ENERO-15'!H31+'FEBRERO-15'!H31+'MARZO-15'!H31+'ABRIL-15'!H31+'MAYO-15'!H31+'JUNIO-15'!H31+'JULIO-15'!H31+'AGOSTO-15'!H31+'SETIEMBRE-15'!H31+'OCTUBRE-15'!H31+'NOVIEMBRE-15'!H31+'DICIEMBRE-15'!H31</f>
        <v>0</v>
      </c>
      <c r="G67" s="103">
        <f>+'ENERO-15'!I31+'FEBRERO-15'!I31+'MARZO-15'!I31+'ABRIL-15'!I31+'MAYO-15'!I31+'JUNIO-15'!I31+'JULIO-15'!I31+'AGOSTO-15'!I31+'SETIEMBRE-15'!I31+'OCTUBRE-15'!I31+'NOVIEMBRE-15'!I31+'DICIEMBRE-15'!I31</f>
        <v>0</v>
      </c>
      <c r="H67" s="103">
        <f>+'ENERO-15'!J31+'FEBRERO-15'!J31+'MARZO-15'!J31+'ABRIL-15'!J31+'MAYO-15'!J31+'JUNIO-15'!J31+'JULIO-15'!J31+'AGOSTO-15'!J31+'SETIEMBRE-15'!J31+'OCTUBRE-15'!J31+'NOVIEMBRE-15'!J31+'DICIEMBRE-15'!J31</f>
        <v>2014.32</v>
      </c>
      <c r="I67" s="103">
        <f>+'ENERO-15'!K31+'FEBRERO-15'!K31+'MARZO-15'!K31+'ABRIL-15'!K31+'MAYO-15'!K31+'JUNIO-15'!K31+'JULIO-15'!K31+'AGOSTO-15'!K31+'SETIEMBRE-15'!K31+'OCTUBRE-15'!K31+'NOVIEMBRE-15'!K31+'DICIEMBRE-15'!K31</f>
        <v>0</v>
      </c>
      <c r="J67" s="103">
        <f>+'ENERO-15'!L31+'FEBRERO-15'!L31+'MARZO-15'!L31+'ABRIL-15'!L31+'MAYO-15'!L31+'JUNIO-15'!L31+'JULIO-15'!L31+'AGOSTO-15'!L31+'SETIEMBRE-15'!L31+'OCTUBRE-15'!L31+'NOVIEMBRE-15'!L31+'DICIEMBRE-15'!L31</f>
        <v>0</v>
      </c>
      <c r="K67" s="103">
        <f>+'ENERO-15'!M31+'FEBRERO-15'!M31+'MARZO-15'!M31+'ABRIL-15'!M31+'MAYO-15'!M31+'JUNIO-15'!M31+'JULIO-15'!M31+'AGOSTO-15'!M31+'SETIEMBRE-15'!M31+'OCTUBRE-15'!M31+'NOVIEMBRE-15'!M31+'DICIEMBRE-15'!M31</f>
        <v>379.5</v>
      </c>
      <c r="L67" s="103">
        <f>+'ENERO-15'!N31+'FEBRERO-15'!N31+'MARZO-15'!N31+'ABRIL-15'!N31+'MAYO-15'!N31+'JUNIO-15'!N31+'JULIO-15'!N31+'AGOSTO-15'!N31+'SETIEMBRE-15'!N31+'OCTUBRE-15'!N31+'NOVIEMBRE-15'!N31+'DICIEMBRE-15'!N31</f>
        <v>0</v>
      </c>
      <c r="M67" s="103">
        <f>+'ENERO-15'!O31+'FEBRERO-15'!O31+'MARZO-15'!O31+'ABRIL-15'!O31+'MAYO-15'!O31+'JUNIO-15'!O31+'JULIO-15'!O31+'AGOSTO-15'!O31+'SETIEMBRE-15'!O31+'OCTUBRE-15'!O31+'NOVIEMBRE-15'!O31+'DICIEMBRE-15'!O31</f>
        <v>23470.619999999995</v>
      </c>
      <c r="N67" s="103">
        <f>+'ENERO-15'!P31+'FEBRERO-15'!P31+'MARZO-15'!P31+'ABRIL-15'!P31+'MAYO-15'!P31+'JUNIO-15'!P31+'JULIO-15'!P31+'AGOSTO-15'!P31+'SETIEMBRE-15'!P31+'OCTUBRE-15'!P31+'NOVIEMBRE-15'!P31+'DICIEMBRE-15'!P31</f>
        <v>21076.799999999996</v>
      </c>
      <c r="O67" s="103">
        <f>+'ENERO-15'!Q31+'FEBRERO-15'!Q31+'MARZO-15'!Q31+'ABRIL-15'!Q31+'MAYO-15'!Q31+'JUNIO-15'!Q31+'JULIO-15'!Q31+'AGOSTO-15'!Q31+'SETIEMBRE-15'!Q31+'OCTUBRE-15'!Q31+'NOVIEMBRE-15'!Q31+'DICIEMBRE-15'!Q31</f>
        <v>1896.912</v>
      </c>
      <c r="P67" s="103">
        <f>+'ENERO-15'!R31+'FEBRERO-15'!R31+'MARZO-15'!R31+'ABRIL-15'!R31+'MAYO-15'!R31+'JUNIO-15'!R31+'JULIO-15'!R31+'AGOSTO-15'!R31+'SETIEMBRE-15'!R31+'OCTUBRE-15'!R31+'NOVIEMBRE-15'!R31+'DICIEMBRE-15'!R31</f>
        <v>0</v>
      </c>
      <c r="Q67" s="103">
        <f>+'ENERO-15'!S31+'FEBRERO-15'!S31+'MARZO-15'!S31+'ABRIL-15'!S31+'MAYO-15'!S31+'JUNIO-15'!S31+'JULIO-15'!S31+'AGOSTO-15'!S31+'SETIEMBRE-15'!S31+'OCTUBRE-15'!S31+'NOVIEMBRE-15'!S31+'DICIEMBRE-15'!S31</f>
        <v>1896.912</v>
      </c>
    </row>
    <row r="68" spans="1:17" ht="15" customHeight="1">
      <c r="A68" s="114" t="s">
        <v>103</v>
      </c>
      <c r="B68" s="101" t="s">
        <v>15</v>
      </c>
      <c r="C68" s="103">
        <f>+'ENERO-15'!E32+'FEBRERO-15'!E32+'MARZO-15'!E32+'ABRIL-15'!E32+'MAYO-15'!E32+'JUNIO-15'!E32+'JULIO-15'!E32+'AGOSTO-15'!E32+'SETIEMBRE-15'!E32+'OCTUBRE-15'!E32+'NOVIEMBRE-15'!E32+'DICIEMBRE-15'!E32</f>
        <v>16660</v>
      </c>
      <c r="D68" s="103">
        <f>+'ENERO-15'!F32+'FEBRERO-15'!F32+'MARZO-15'!F32+'ABRIL-15'!F32+'MAYO-15'!F32+'JUNIO-15'!F32+'JULIO-15'!F32+'AGOSTO-15'!F32+'SETIEMBRE-15'!F32+'OCTUBRE-15'!F32+'NOVIEMBRE-15'!F32+'DICIEMBRE-15'!F32</f>
        <v>4297.55</v>
      </c>
      <c r="E68" s="103">
        <f>+'ENERO-15'!G32+'FEBRERO-15'!G32+'MARZO-15'!G32+'ABRIL-15'!G32+'MAYO-15'!G32+'JUNIO-15'!G32+'JULIO-15'!G32+'AGOSTO-15'!G32+'SETIEMBRE-15'!G32+'OCTUBRE-15'!G32+'NOVIEMBRE-15'!G32+'DICIEMBRE-15'!G32</f>
        <v>0</v>
      </c>
      <c r="F68" s="103">
        <f>+'ENERO-15'!H32+'FEBRERO-15'!H32+'MARZO-15'!H32+'ABRIL-15'!H32+'MAYO-15'!H32+'JUNIO-15'!H32+'JULIO-15'!H32+'AGOSTO-15'!H32+'SETIEMBRE-15'!H32+'OCTUBRE-15'!H32+'NOVIEMBRE-15'!H32+'DICIEMBRE-15'!H32</f>
        <v>0</v>
      </c>
      <c r="G68" s="103">
        <f>+'ENERO-15'!I32+'FEBRERO-15'!I32+'MARZO-15'!I32+'ABRIL-15'!I32+'MAYO-15'!I32+'JUNIO-15'!I32+'JULIO-15'!I32+'AGOSTO-15'!I32+'SETIEMBRE-15'!I32+'OCTUBRE-15'!I32+'NOVIEMBRE-15'!I32+'DICIEMBRE-15'!I32</f>
        <v>0</v>
      </c>
      <c r="H68" s="103">
        <f>+'ENERO-15'!J32+'FEBRERO-15'!J32+'MARZO-15'!J32+'ABRIL-15'!J32+'MAYO-15'!J32+'JUNIO-15'!J32+'JULIO-15'!J32+'AGOSTO-15'!J32+'SETIEMBRE-15'!J32+'OCTUBRE-15'!J32+'NOVIEMBRE-15'!J32+'DICIEMBRE-15'!J32</f>
        <v>1960.95</v>
      </c>
      <c r="I68" s="103">
        <f>+'ENERO-15'!K32+'FEBRERO-15'!K32+'MARZO-15'!K32+'ABRIL-15'!K32+'MAYO-15'!K32+'JUNIO-15'!K32+'JULIO-15'!K32+'AGOSTO-15'!K32+'SETIEMBRE-15'!K32+'OCTUBRE-15'!K32+'NOVIEMBRE-15'!K32+'DICIEMBRE-15'!K32</f>
        <v>0</v>
      </c>
      <c r="J68" s="103">
        <f>+'ENERO-15'!L32+'FEBRERO-15'!L32+'MARZO-15'!L32+'ABRIL-15'!L32+'MAYO-15'!L32+'JUNIO-15'!L32+'JULIO-15'!L32+'AGOSTO-15'!L32+'SETIEMBRE-15'!L32+'OCTUBRE-15'!L32+'NOVIEMBRE-15'!L32+'DICIEMBRE-15'!L32</f>
        <v>0</v>
      </c>
      <c r="K68" s="103">
        <f>+'ENERO-15'!M32+'FEBRERO-15'!M32+'MARZO-15'!M32+'ABRIL-15'!M32+'MAYO-15'!M32+'JUNIO-15'!M32+'JULIO-15'!M32+'AGOSTO-15'!M32+'SETIEMBRE-15'!M32+'OCTUBRE-15'!M32+'NOVIEMBRE-15'!M32+'DICIEMBRE-15'!M32</f>
        <v>805</v>
      </c>
      <c r="L68" s="103">
        <f>+'ENERO-15'!N32+'FEBRERO-15'!N32+'MARZO-15'!N32+'ABRIL-15'!N32+'MAYO-15'!N32+'JUNIO-15'!N32+'JULIO-15'!N32+'AGOSTO-15'!N32+'SETIEMBRE-15'!N32+'OCTUBRE-15'!N32+'NOVIEMBRE-15'!N32+'DICIEMBRE-15'!N32</f>
        <v>0</v>
      </c>
      <c r="M68" s="103">
        <f>+'ENERO-15'!O32+'FEBRERO-15'!O32+'MARZO-15'!O32+'ABRIL-15'!O32+'MAYO-15'!O32+'JUNIO-15'!O32+'JULIO-15'!O32+'AGOSTO-15'!O32+'SETIEMBRE-15'!O32+'OCTUBRE-15'!O32+'NOVIEMBRE-15'!O32+'DICIEMBRE-15'!O32</f>
        <v>23723.499999999996</v>
      </c>
      <c r="N68" s="103">
        <f>+'ENERO-15'!P32+'FEBRERO-15'!P32+'MARZO-15'!P32+'ABRIL-15'!P32+'MAYO-15'!P32+'JUNIO-15'!P32+'JULIO-15'!P32+'AGOSTO-15'!P32+'SETIEMBRE-15'!P32+'OCTUBRE-15'!P32+'NOVIEMBRE-15'!P32+'DICIEMBRE-15'!P32</f>
        <v>20957.549999999996</v>
      </c>
      <c r="O68" s="103">
        <f>+'ENERO-15'!Q32+'FEBRERO-15'!Q32+'MARZO-15'!Q32+'ABRIL-15'!Q32+'MAYO-15'!Q32+'JUNIO-15'!Q32+'JULIO-15'!Q32+'AGOSTO-15'!Q32+'SETIEMBRE-15'!Q32+'OCTUBRE-15'!Q32+'NOVIEMBRE-15'!Q32+'DICIEMBRE-15'!Q32</f>
        <v>1886.1795</v>
      </c>
      <c r="P68" s="103">
        <f>+'ENERO-15'!R32+'FEBRERO-15'!R32+'MARZO-15'!R32+'ABRIL-15'!R32+'MAYO-15'!R32+'JUNIO-15'!R32+'JULIO-15'!R32+'AGOSTO-15'!R32+'SETIEMBRE-15'!R32+'OCTUBRE-15'!R32+'NOVIEMBRE-15'!R32+'DICIEMBRE-15'!R32</f>
        <v>0</v>
      </c>
      <c r="Q68" s="103">
        <f>+'ENERO-15'!S32+'FEBRERO-15'!S32+'MARZO-15'!S32+'ABRIL-15'!S32+'MAYO-15'!S32+'JUNIO-15'!S32+'JULIO-15'!S32+'AGOSTO-15'!S32+'SETIEMBRE-15'!S32+'OCTUBRE-15'!S32+'NOVIEMBRE-15'!S32+'DICIEMBRE-15'!S32</f>
        <v>1886.1795</v>
      </c>
    </row>
    <row r="69" spans="1:17" ht="15" customHeight="1">
      <c r="A69" s="114" t="s">
        <v>104</v>
      </c>
      <c r="B69" s="101" t="s">
        <v>54</v>
      </c>
      <c r="C69" s="103">
        <f>+'ENERO-15'!E33+'FEBRERO-15'!E33+'MARZO-15'!E33+'ABRIL-15'!E33+'MAYO-15'!E33+'JUNIO-15'!E33+'JULIO-15'!E33+'AGOSTO-15'!E33+'SETIEMBRE-15'!E33+'OCTUBRE-15'!E33+'NOVIEMBRE-15'!E33+'DICIEMBRE-15'!E33</f>
        <v>18480</v>
      </c>
      <c r="D69" s="103">
        <f>+'ENERO-15'!F33+'FEBRERO-15'!F33+'MARZO-15'!F33+'ABRIL-15'!F33+'MAYO-15'!F33+'JUNIO-15'!F33+'JULIO-15'!F33+'AGOSTO-15'!F33+'SETIEMBRE-15'!F33+'OCTUBRE-15'!F33+'NOVIEMBRE-15'!F33+'DICIEMBRE-15'!F33</f>
        <v>4907.2</v>
      </c>
      <c r="E69" s="103">
        <f>+'ENERO-15'!G33+'FEBRERO-15'!G33+'MARZO-15'!G33+'ABRIL-15'!G33+'MAYO-15'!G33+'JUNIO-15'!G33+'JULIO-15'!G33+'AGOSTO-15'!G33+'SETIEMBRE-15'!G33+'OCTUBRE-15'!G33+'NOVIEMBRE-15'!G33+'DICIEMBRE-15'!G33</f>
        <v>0</v>
      </c>
      <c r="F69" s="103">
        <f>+'ENERO-15'!H33+'FEBRERO-15'!H33+'MARZO-15'!H33+'ABRIL-15'!H33+'MAYO-15'!H33+'JUNIO-15'!H33+'JULIO-15'!H33+'AGOSTO-15'!H33+'SETIEMBRE-15'!H33+'OCTUBRE-15'!H33+'NOVIEMBRE-15'!H33+'DICIEMBRE-15'!H33</f>
        <v>0</v>
      </c>
      <c r="G69" s="103">
        <f>+'ENERO-15'!I33+'FEBRERO-15'!I33+'MARZO-15'!I33+'ABRIL-15'!I33+'MAYO-15'!I33+'JUNIO-15'!I33+'JULIO-15'!I33+'AGOSTO-15'!I33+'SETIEMBRE-15'!I33+'OCTUBRE-15'!I33+'NOVIEMBRE-15'!I33+'DICIEMBRE-15'!I33</f>
        <v>0</v>
      </c>
      <c r="H69" s="103">
        <f>+'ENERO-15'!J33+'FEBRERO-15'!J33+'MARZO-15'!J33+'ABRIL-15'!J33+'MAYO-15'!J33+'JUNIO-15'!J33+'JULIO-15'!J33+'AGOSTO-15'!J33+'SETIEMBRE-15'!J33+'OCTUBRE-15'!J33+'NOVIEMBRE-15'!J33+'DICIEMBRE-15'!J33</f>
        <v>2189.23</v>
      </c>
      <c r="I69" s="103">
        <f>+'ENERO-15'!K33+'FEBRERO-15'!K33+'MARZO-15'!K33+'ABRIL-15'!K33+'MAYO-15'!K33+'JUNIO-15'!K33+'JULIO-15'!K33+'AGOSTO-15'!K33+'SETIEMBRE-15'!K33+'OCTUBRE-15'!K33+'NOVIEMBRE-15'!K33+'DICIEMBRE-15'!K33</f>
        <v>0</v>
      </c>
      <c r="J69" s="103">
        <f>+'ENERO-15'!L33+'FEBRERO-15'!L33+'MARZO-15'!L33+'ABRIL-15'!L33+'MAYO-15'!L33+'JUNIO-15'!L33+'JULIO-15'!L33+'AGOSTO-15'!L33+'SETIEMBRE-15'!L33+'OCTUBRE-15'!L33+'NOVIEMBRE-15'!L33+'DICIEMBRE-15'!L33</f>
        <v>0</v>
      </c>
      <c r="K69" s="103">
        <f>+'ENERO-15'!M33+'FEBRERO-15'!M33+'MARZO-15'!M33+'ABRIL-15'!M33+'MAYO-15'!M33+'JUNIO-15'!M33+'JULIO-15'!M33+'AGOSTO-15'!M33+'SETIEMBRE-15'!M33+'OCTUBRE-15'!M33+'NOVIEMBRE-15'!M33+'DICIEMBRE-15'!M33</f>
        <v>782</v>
      </c>
      <c r="L69" s="103">
        <f>+'ENERO-15'!N33+'FEBRERO-15'!N33+'MARZO-15'!N33+'ABRIL-15'!N33+'MAYO-15'!N33+'JUNIO-15'!N33+'JULIO-15'!N33+'AGOSTO-15'!N33+'SETIEMBRE-15'!N33+'OCTUBRE-15'!N33+'NOVIEMBRE-15'!N33+'DICIEMBRE-15'!N33</f>
        <v>0</v>
      </c>
      <c r="M69" s="103">
        <f>+'ENERO-15'!O33+'FEBRERO-15'!O33+'MARZO-15'!O33+'ABRIL-15'!O33+'MAYO-15'!O33+'JUNIO-15'!O33+'JULIO-15'!O33+'AGOSTO-15'!O33+'SETIEMBRE-15'!O33+'OCTUBRE-15'!O33+'NOVIEMBRE-15'!O33+'DICIEMBRE-15'!O33</f>
        <v>26358.43</v>
      </c>
      <c r="N69" s="103">
        <f>+'ENERO-15'!P33+'FEBRERO-15'!P33+'MARZO-15'!P33+'ABRIL-15'!P33+'MAYO-15'!P33+'JUNIO-15'!P33+'JULIO-15'!P33+'AGOSTO-15'!P33+'SETIEMBRE-15'!P33+'OCTUBRE-15'!P33+'NOVIEMBRE-15'!P33+'DICIEMBRE-15'!P33</f>
        <v>23387.200000000001</v>
      </c>
      <c r="O69" s="103">
        <f>+'ENERO-15'!Q33+'FEBRERO-15'!Q33+'MARZO-15'!Q33+'ABRIL-15'!Q33+'MAYO-15'!Q33+'JUNIO-15'!Q33+'JULIO-15'!Q33+'AGOSTO-15'!Q33+'SETIEMBRE-15'!Q33+'OCTUBRE-15'!Q33+'NOVIEMBRE-15'!Q33+'DICIEMBRE-15'!Q33</f>
        <v>2104.848</v>
      </c>
      <c r="P69" s="103">
        <f>+'ENERO-15'!R33+'FEBRERO-15'!R33+'MARZO-15'!R33+'ABRIL-15'!R33+'MAYO-15'!R33+'JUNIO-15'!R33+'JULIO-15'!R33+'AGOSTO-15'!R33+'SETIEMBRE-15'!R33+'OCTUBRE-15'!R33+'NOVIEMBRE-15'!R33+'DICIEMBRE-15'!R33</f>
        <v>0</v>
      </c>
      <c r="Q69" s="103">
        <f>+'ENERO-15'!S33+'FEBRERO-15'!S33+'MARZO-15'!S33+'ABRIL-15'!S33+'MAYO-15'!S33+'JUNIO-15'!S33+'JULIO-15'!S33+'AGOSTO-15'!S33+'SETIEMBRE-15'!S33+'OCTUBRE-15'!S33+'NOVIEMBRE-15'!S33+'DICIEMBRE-15'!S33</f>
        <v>2104.848</v>
      </c>
    </row>
    <row r="70" spans="1:17" ht="15" customHeight="1">
      <c r="A70" s="114" t="s">
        <v>105</v>
      </c>
      <c r="B70" s="101" t="s">
        <v>55</v>
      </c>
      <c r="C70" s="103">
        <f>+'ENERO-15'!E34+'FEBRERO-15'!E34+'MARZO-15'!E34+'ABRIL-15'!E34+'MAYO-15'!E34+'JUNIO-15'!E34+'JULIO-15'!E34+'AGOSTO-15'!E34+'SETIEMBRE-15'!E34+'OCTUBRE-15'!E34+'NOVIEMBRE-15'!E34+'DICIEMBRE-15'!E34</f>
        <v>22788</v>
      </c>
      <c r="D70" s="103">
        <f>+'ENERO-15'!F34+'FEBRERO-15'!F34+'MARZO-15'!F34+'ABRIL-15'!F34+'MAYO-15'!F34+'JUNIO-15'!F34+'JULIO-15'!F34+'AGOSTO-15'!F34+'SETIEMBRE-15'!F34+'OCTUBRE-15'!F34+'NOVIEMBRE-15'!F34+'DICIEMBRE-15'!F34</f>
        <v>3286.2</v>
      </c>
      <c r="E70" s="103">
        <f>+'ENERO-15'!G34+'FEBRERO-15'!G34+'MARZO-15'!G34+'ABRIL-15'!G34+'MAYO-15'!G34+'JUNIO-15'!G34+'JULIO-15'!G34+'AGOSTO-15'!G34+'SETIEMBRE-15'!G34+'OCTUBRE-15'!G34+'NOVIEMBRE-15'!G34+'DICIEMBRE-15'!G34</f>
        <v>0</v>
      </c>
      <c r="F70" s="103">
        <f>+'ENERO-15'!H34+'FEBRERO-15'!H34+'MARZO-15'!H34+'ABRIL-15'!H34+'MAYO-15'!H34+'JUNIO-15'!H34+'JULIO-15'!H34+'AGOSTO-15'!H34+'SETIEMBRE-15'!H34+'OCTUBRE-15'!H34+'NOVIEMBRE-15'!H34+'DICIEMBRE-15'!H34</f>
        <v>0</v>
      </c>
      <c r="G70" s="103">
        <f>+'ENERO-15'!I34+'FEBRERO-15'!I34+'MARZO-15'!I34+'ABRIL-15'!I34+'MAYO-15'!I34+'JUNIO-15'!I34+'JULIO-15'!I34+'AGOSTO-15'!I34+'SETIEMBRE-15'!I34+'OCTUBRE-15'!I34+'NOVIEMBRE-15'!I34+'DICIEMBRE-15'!I34</f>
        <v>0</v>
      </c>
      <c r="H70" s="103">
        <f>+'ENERO-15'!J34+'FEBRERO-15'!J34+'MARZO-15'!J34+'ABRIL-15'!J34+'MAYO-15'!J34+'JUNIO-15'!J34+'JULIO-15'!J34+'AGOSTO-15'!J34+'SETIEMBRE-15'!J34+'OCTUBRE-15'!J34+'NOVIEMBRE-15'!J34+'DICIEMBRE-15'!J34</f>
        <v>4280.32</v>
      </c>
      <c r="I70" s="103">
        <f>+'ENERO-15'!K34+'FEBRERO-15'!K34+'MARZO-15'!K34+'ABRIL-15'!K34+'MAYO-15'!K34+'JUNIO-15'!K34+'JULIO-15'!K34+'AGOSTO-15'!K34+'SETIEMBRE-15'!K34+'OCTUBRE-15'!K34+'NOVIEMBRE-15'!K34+'DICIEMBRE-15'!K34</f>
        <v>1974</v>
      </c>
      <c r="J70" s="103">
        <f>+'ENERO-15'!L34+'FEBRERO-15'!L34+'MARZO-15'!L34+'ABRIL-15'!L34+'MAYO-15'!L34+'JUNIO-15'!L34+'JULIO-15'!L34+'AGOSTO-15'!L34+'SETIEMBRE-15'!L34+'OCTUBRE-15'!L34+'NOVIEMBRE-15'!L34+'DICIEMBRE-15'!L34</f>
        <v>0</v>
      </c>
      <c r="K70" s="103">
        <f>+'ENERO-15'!M34+'FEBRERO-15'!M34+'MARZO-15'!M34+'ABRIL-15'!M34+'MAYO-15'!M34+'JUNIO-15'!M34+'JULIO-15'!M34+'AGOSTO-15'!M34+'SETIEMBRE-15'!M34+'OCTUBRE-15'!M34+'NOVIEMBRE-15'!M34+'DICIEMBRE-15'!M34</f>
        <v>92</v>
      </c>
      <c r="L70" s="103">
        <f>+'ENERO-15'!N34+'FEBRERO-15'!N34+'MARZO-15'!N34+'ABRIL-15'!N34+'MAYO-15'!N34+'JUNIO-15'!N34+'JULIO-15'!N34+'AGOSTO-15'!N34+'SETIEMBRE-15'!N34+'OCTUBRE-15'!N34+'NOVIEMBRE-15'!N34+'DICIEMBRE-15'!N34</f>
        <v>0</v>
      </c>
      <c r="M70" s="103">
        <f>+'ENERO-15'!O34+'FEBRERO-15'!O34+'MARZO-15'!O34+'ABRIL-15'!O34+'MAYO-15'!O34+'JUNIO-15'!O34+'JULIO-15'!O34+'AGOSTO-15'!O34+'SETIEMBRE-15'!O34+'OCTUBRE-15'!O34+'NOVIEMBRE-15'!O34+'DICIEMBRE-15'!O34</f>
        <v>32420.519999999997</v>
      </c>
      <c r="N70" s="103">
        <f>+'ENERO-15'!P34+'FEBRERO-15'!P34+'MARZO-15'!P34+'ABRIL-15'!P34+'MAYO-15'!P34+'JUNIO-15'!P34+'JULIO-15'!P34+'AGOSTO-15'!P34+'SETIEMBRE-15'!P34+'OCTUBRE-15'!P34+'NOVIEMBRE-15'!P34+'DICIEMBRE-15'!P34</f>
        <v>28048.2</v>
      </c>
      <c r="O70" s="103">
        <f>+'ENERO-15'!Q34+'FEBRERO-15'!Q34+'MARZO-15'!Q34+'ABRIL-15'!Q34+'MAYO-15'!Q34+'JUNIO-15'!Q34+'JULIO-15'!Q34+'AGOSTO-15'!Q34+'SETIEMBRE-15'!Q34+'OCTUBRE-15'!Q34+'NOVIEMBRE-15'!Q34+'DICIEMBRE-15'!Q34</f>
        <v>2524.3380000000002</v>
      </c>
      <c r="P70" s="103">
        <f>+'ENERO-15'!R34+'FEBRERO-15'!R34+'MARZO-15'!R34+'ABRIL-15'!R34+'MAYO-15'!R34+'JUNIO-15'!R34+'JULIO-15'!R34+'AGOSTO-15'!R34+'SETIEMBRE-15'!R34+'OCTUBRE-15'!R34+'NOVIEMBRE-15'!R34+'DICIEMBRE-15'!R34</f>
        <v>0</v>
      </c>
      <c r="Q70" s="103">
        <f>+'ENERO-15'!S34+'FEBRERO-15'!S34+'MARZO-15'!S34+'ABRIL-15'!S34+'MAYO-15'!S34+'JUNIO-15'!S34+'JULIO-15'!S34+'AGOSTO-15'!S34+'SETIEMBRE-15'!S34+'OCTUBRE-15'!S34+'NOVIEMBRE-15'!S34+'DICIEMBRE-15'!S34</f>
        <v>2524.3380000000002</v>
      </c>
    </row>
    <row r="71" spans="1:17" s="112" customFormat="1" ht="15" customHeight="1" thickBot="1">
      <c r="A71" s="119" t="s">
        <v>82</v>
      </c>
      <c r="B71" s="120"/>
      <c r="C71" s="111">
        <f>SUM(C55:C70)</f>
        <v>311946</v>
      </c>
      <c r="D71" s="111">
        <f t="shared" ref="D71:Q71" si="33">SUM(D55:D70)</f>
        <v>54632.19</v>
      </c>
      <c r="E71" s="111">
        <f t="shared" si="33"/>
        <v>1818.5</v>
      </c>
      <c r="F71" s="111">
        <f t="shared" si="33"/>
        <v>0</v>
      </c>
      <c r="G71" s="111">
        <f t="shared" si="33"/>
        <v>0</v>
      </c>
      <c r="H71" s="111">
        <f t="shared" si="33"/>
        <v>47363.15</v>
      </c>
      <c r="I71" s="111">
        <f t="shared" si="33"/>
        <v>12994</v>
      </c>
      <c r="J71" s="111">
        <f t="shared" si="33"/>
        <v>0</v>
      </c>
      <c r="K71" s="111">
        <f t="shared" si="33"/>
        <v>6405.5</v>
      </c>
      <c r="L71" s="111">
        <f t="shared" si="33"/>
        <v>1082</v>
      </c>
      <c r="M71" s="111">
        <f t="shared" si="33"/>
        <v>436241.33999999997</v>
      </c>
      <c r="N71" s="111">
        <f t="shared" si="33"/>
        <v>382472.69000000006</v>
      </c>
      <c r="O71" s="111">
        <f t="shared" si="33"/>
        <v>34422.542099999999</v>
      </c>
      <c r="P71" s="111">
        <f t="shared" si="33"/>
        <v>0</v>
      </c>
      <c r="Q71" s="111">
        <f t="shared" si="33"/>
        <v>34422.542099999999</v>
      </c>
    </row>
    <row r="72" spans="1:17" ht="15" customHeight="1" thickTop="1"/>
    <row r="73" spans="1:17" s="116" customFormat="1" ht="18" customHeight="1" thickBot="1">
      <c r="A73" s="121" t="s">
        <v>82</v>
      </c>
      <c r="B73" s="122"/>
      <c r="C73" s="115">
        <f t="shared" ref="C73:Q73" si="34">SUM(C57:C72)</f>
        <v>582624</v>
      </c>
      <c r="D73" s="115">
        <f t="shared" si="34"/>
        <v>101878.58000000002</v>
      </c>
      <c r="E73" s="115">
        <f t="shared" si="34"/>
        <v>3637</v>
      </c>
      <c r="F73" s="115">
        <f t="shared" si="34"/>
        <v>0</v>
      </c>
      <c r="G73" s="115">
        <f t="shared" si="34"/>
        <v>0</v>
      </c>
      <c r="H73" s="115">
        <f t="shared" si="34"/>
        <v>88408.66</v>
      </c>
      <c r="I73" s="115">
        <f t="shared" si="34"/>
        <v>24140</v>
      </c>
      <c r="J73" s="115">
        <f t="shared" si="34"/>
        <v>0</v>
      </c>
      <c r="K73" s="115">
        <f t="shared" si="34"/>
        <v>12201.5</v>
      </c>
      <c r="L73" s="115">
        <f t="shared" si="34"/>
        <v>2164</v>
      </c>
      <c r="M73" s="115">
        <f t="shared" si="34"/>
        <v>815053.74</v>
      </c>
      <c r="N73" s="115">
        <f t="shared" si="34"/>
        <v>714443.58000000007</v>
      </c>
      <c r="O73" s="115">
        <f t="shared" si="34"/>
        <v>64299.922200000001</v>
      </c>
      <c r="P73" s="115">
        <f t="shared" si="34"/>
        <v>0</v>
      </c>
      <c r="Q73" s="115">
        <f t="shared" si="34"/>
        <v>64299.922200000001</v>
      </c>
    </row>
    <row r="74" spans="1:17" ht="15.75" thickTop="1"/>
    <row r="75" spans="1:17">
      <c r="M75" s="117">
        <f>+M73+[1]Res!$M$363</f>
        <v>9484054.8019999992</v>
      </c>
    </row>
  </sheetData>
  <mergeCells count="28">
    <mergeCell ref="A4:Q4"/>
    <mergeCell ref="A5:Q5"/>
    <mergeCell ref="A8:B9"/>
    <mergeCell ref="C8:L8"/>
    <mergeCell ref="M8:M9"/>
    <mergeCell ref="N8:N9"/>
    <mergeCell ref="O8:Q8"/>
    <mergeCell ref="A39:B39"/>
    <mergeCell ref="A11:B11"/>
    <mergeCell ref="A12:B12"/>
    <mergeCell ref="A15:B15"/>
    <mergeCell ref="A17:B17"/>
    <mergeCell ref="A20:B20"/>
    <mergeCell ref="A22:B22"/>
    <mergeCell ref="A25:B25"/>
    <mergeCell ref="A27:B27"/>
    <mergeCell ref="A28:B28"/>
    <mergeCell ref="A33:B33"/>
    <mergeCell ref="A35:B35"/>
    <mergeCell ref="A54:B54"/>
    <mergeCell ref="A71:B71"/>
    <mergeCell ref="A73:B73"/>
    <mergeCell ref="A42:B42"/>
    <mergeCell ref="A41:B41"/>
    <mergeCell ref="A44:B44"/>
    <mergeCell ref="A46:B46"/>
    <mergeCell ref="A51:B51"/>
    <mergeCell ref="A53:B53"/>
  </mergeCells>
  <pageMargins left="0.70866141732283472" right="0.51181102362204722" top="0.55118110236220474" bottom="0.55118110236220474" header="0.31496062992125984" footer="0.31496062992125984"/>
  <pageSetup paperSize="9" scale="6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G1" sqref="G1:G1048576"/>
    </sheetView>
  </sheetViews>
  <sheetFormatPr baseColWidth="10" defaultRowHeight="15"/>
  <cols>
    <col min="1" max="1" width="3.7109375" customWidth="1"/>
    <col min="2" max="2" width="28.7109375" customWidth="1"/>
    <col min="3" max="4" width="3.7109375" customWidth="1"/>
    <col min="5" max="7" width="10.7109375" customWidth="1"/>
    <col min="8" max="8" width="8.7109375" customWidth="1"/>
    <col min="9" max="9" width="6.7109375" customWidth="1"/>
    <col min="10" max="10" width="5.7109375" customWidth="1"/>
    <col min="11" max="11" width="9.7109375" customWidth="1"/>
    <col min="12" max="12" width="6.7109375" customWidth="1"/>
    <col min="13" max="13" width="8.7109375" customWidth="1"/>
    <col min="14" max="14" width="9.7109375" customWidth="1"/>
    <col min="15" max="16" width="10.7109375" customWidth="1"/>
    <col min="17" max="17" width="9.7109375" customWidth="1"/>
    <col min="18" max="18" width="6.7109375" customWidth="1"/>
    <col min="19" max="19" width="9.7109375" customWidth="1"/>
    <col min="20" max="20" width="10.7109375" customWidth="1"/>
    <col min="21" max="21" width="8.7109375" customWidth="1"/>
    <col min="22" max="22" width="9.7109375" customWidth="1"/>
  </cols>
  <sheetData>
    <row r="1" spans="1:22" s="15" customFormat="1" ht="15" customHeight="1">
      <c r="A1" s="63">
        <v>1</v>
      </c>
      <c r="B1" s="64" t="s">
        <v>33</v>
      </c>
      <c r="C1" s="24">
        <v>231</v>
      </c>
      <c r="D1" s="25">
        <v>5</v>
      </c>
      <c r="E1" s="26">
        <v>2241</v>
      </c>
      <c r="F1" s="27"/>
      <c r="G1" s="27"/>
      <c r="H1" s="27"/>
      <c r="I1" s="27"/>
      <c r="J1" s="27"/>
      <c r="K1" s="27"/>
      <c r="L1" s="27"/>
      <c r="M1" s="27"/>
      <c r="N1" s="27">
        <v>1054</v>
      </c>
      <c r="O1" s="19">
        <f>SUM(E1:N1)</f>
        <v>3295</v>
      </c>
      <c r="P1" s="19">
        <f>O1-M1-J1</f>
        <v>3295</v>
      </c>
      <c r="Q1" s="20">
        <f>P1*9%</f>
        <v>296.55</v>
      </c>
      <c r="R1" s="20"/>
      <c r="S1" s="20">
        <f>Q1+R1</f>
        <v>296.55</v>
      </c>
      <c r="T1" s="19">
        <f>P1+S1</f>
        <v>3591.55</v>
      </c>
      <c r="U1" s="21" t="s">
        <v>0</v>
      </c>
      <c r="V1" s="20">
        <f>+P1*13.02%</f>
        <v>429.00899999999996</v>
      </c>
    </row>
    <row r="2" spans="1:22" s="15" customFormat="1" ht="15" customHeight="1" thickBot="1">
      <c r="A2" s="53">
        <v>1</v>
      </c>
      <c r="B2" s="54" t="s">
        <v>56</v>
      </c>
      <c r="C2" s="49"/>
      <c r="D2" s="50"/>
      <c r="E2" s="51"/>
      <c r="F2" s="52"/>
      <c r="G2" s="52"/>
      <c r="H2" s="52"/>
      <c r="I2" s="52"/>
      <c r="J2" s="52"/>
      <c r="K2" s="52"/>
      <c r="L2" s="52"/>
      <c r="M2" s="52"/>
      <c r="N2" s="52"/>
      <c r="O2" s="19"/>
      <c r="P2" s="19"/>
      <c r="Q2" s="20"/>
      <c r="R2" s="20"/>
      <c r="S2" s="20"/>
      <c r="T2" s="19"/>
      <c r="U2" s="21"/>
      <c r="V2" s="20"/>
    </row>
    <row r="3" spans="1:22" s="15" customFormat="1" ht="15" customHeight="1">
      <c r="A3" s="75">
        <v>1</v>
      </c>
      <c r="B3" s="76" t="s">
        <v>3</v>
      </c>
      <c r="C3" s="77">
        <v>85</v>
      </c>
      <c r="D3" s="78">
        <v>5</v>
      </c>
      <c r="E3" s="79">
        <v>2241</v>
      </c>
      <c r="F3" s="80">
        <f>75+250</f>
        <v>325</v>
      </c>
      <c r="G3" s="80"/>
      <c r="H3" s="80"/>
      <c r="I3" s="80"/>
      <c r="J3" s="80"/>
      <c r="K3" s="80"/>
      <c r="L3" s="80"/>
      <c r="M3" s="80"/>
      <c r="N3" s="80"/>
      <c r="O3" s="19">
        <f>SUM(E3:N3)</f>
        <v>2566</v>
      </c>
      <c r="P3" s="19">
        <f>O3-M3-J3</f>
        <v>2566</v>
      </c>
      <c r="Q3" s="20">
        <f>P3*9%</f>
        <v>230.94</v>
      </c>
      <c r="R3" s="20"/>
      <c r="S3" s="20">
        <f>Q3+R3</f>
        <v>230.94</v>
      </c>
      <c r="T3" s="19">
        <f>P3+S3</f>
        <v>2796.94</v>
      </c>
      <c r="U3" s="21" t="s">
        <v>2</v>
      </c>
      <c r="V3" s="20">
        <f>+P3*12.93%</f>
        <v>331.78379999999999</v>
      </c>
    </row>
    <row r="4" spans="1:22" s="15" customFormat="1" ht="15" customHeight="1" thickBot="1">
      <c r="A4" s="73">
        <v>2</v>
      </c>
      <c r="B4" s="74" t="s">
        <v>56</v>
      </c>
      <c r="C4" s="59"/>
      <c r="D4" s="60"/>
      <c r="E4" s="61"/>
      <c r="F4" s="62"/>
      <c r="G4" s="62"/>
      <c r="H4" s="62"/>
      <c r="I4" s="62"/>
      <c r="J4" s="62"/>
      <c r="K4" s="62"/>
      <c r="L4" s="62"/>
      <c r="M4" s="62"/>
      <c r="N4" s="62"/>
      <c r="O4" s="58"/>
      <c r="P4" s="19"/>
      <c r="Q4" s="20"/>
      <c r="R4" s="20"/>
      <c r="S4" s="20"/>
      <c r="T4" s="19"/>
      <c r="U4" s="21"/>
      <c r="V4" s="20"/>
    </row>
    <row r="5" spans="1:22" s="15" customFormat="1" ht="15" customHeight="1">
      <c r="A5" s="47">
        <v>1</v>
      </c>
      <c r="B5" s="48" t="s">
        <v>4</v>
      </c>
      <c r="C5" s="49">
        <v>42</v>
      </c>
      <c r="D5" s="50">
        <v>5</v>
      </c>
      <c r="E5" s="51">
        <v>1789</v>
      </c>
      <c r="F5" s="52">
        <f>75+150</f>
        <v>225</v>
      </c>
      <c r="G5" s="52"/>
      <c r="H5" s="52"/>
      <c r="I5" s="52"/>
      <c r="J5" s="52"/>
      <c r="K5" s="52"/>
      <c r="L5" s="52"/>
      <c r="M5" s="52"/>
      <c r="N5" s="52">
        <v>110</v>
      </c>
      <c r="O5" s="19">
        <f>SUM(E5:N5)</f>
        <v>2124</v>
      </c>
      <c r="P5" s="19">
        <f>O5-M5-J5</f>
        <v>2124</v>
      </c>
      <c r="Q5" s="20">
        <f>P5*9%</f>
        <v>191.16</v>
      </c>
      <c r="R5" s="20"/>
      <c r="S5" s="20">
        <f>Q5+R5</f>
        <v>191.16</v>
      </c>
      <c r="T5" s="19">
        <f>P5+S5</f>
        <v>2315.16</v>
      </c>
      <c r="U5" s="21" t="s">
        <v>0</v>
      </c>
      <c r="V5" s="20">
        <f>+P5*13.02%</f>
        <v>276.54479999999995</v>
      </c>
    </row>
    <row r="6" spans="1:22" s="15" customFormat="1" ht="15" customHeight="1" thickBot="1">
      <c r="A6" s="37">
        <v>2</v>
      </c>
      <c r="B6" s="42" t="s">
        <v>24</v>
      </c>
      <c r="C6" s="59"/>
      <c r="D6" s="60"/>
      <c r="E6" s="61"/>
      <c r="F6" s="62"/>
      <c r="G6" s="62"/>
      <c r="H6" s="62"/>
      <c r="I6" s="62"/>
      <c r="J6" s="62"/>
      <c r="K6" s="62"/>
      <c r="L6" s="62"/>
      <c r="M6" s="62"/>
      <c r="N6" s="62"/>
      <c r="O6" s="19"/>
      <c r="P6" s="19"/>
      <c r="Q6" s="20"/>
      <c r="R6" s="20"/>
      <c r="S6" s="20"/>
      <c r="T6" s="19"/>
      <c r="U6" s="21"/>
      <c r="V6" s="20"/>
    </row>
    <row r="7" spans="1:22" s="15" customFormat="1" ht="15" customHeight="1">
      <c r="A7" s="22">
        <v>1</v>
      </c>
      <c r="B7" s="48" t="s">
        <v>5</v>
      </c>
      <c r="C7" s="49">
        <v>67</v>
      </c>
      <c r="D7" s="50">
        <v>5</v>
      </c>
      <c r="E7" s="51">
        <v>1899</v>
      </c>
      <c r="F7" s="52">
        <f>75+96+50+300</f>
        <v>521</v>
      </c>
      <c r="G7" s="52"/>
      <c r="H7" s="52"/>
      <c r="I7" s="52">
        <v>18.55</v>
      </c>
      <c r="J7" s="52"/>
      <c r="K7" s="52"/>
      <c r="L7" s="52"/>
      <c r="M7" s="52"/>
      <c r="N7" s="52"/>
      <c r="O7" s="19">
        <f>SUM(E7:N7)</f>
        <v>2438.5500000000002</v>
      </c>
      <c r="P7" s="19">
        <f>O7-M7-J7</f>
        <v>2438.5500000000002</v>
      </c>
      <c r="Q7" s="20">
        <f>P7*9%</f>
        <v>219.46950000000001</v>
      </c>
      <c r="R7" s="20"/>
      <c r="S7" s="20">
        <f>Q7+R7</f>
        <v>219.46950000000001</v>
      </c>
      <c r="T7" s="19">
        <f>P7+S7</f>
        <v>2658.0195000000003</v>
      </c>
      <c r="U7" s="21" t="s">
        <v>0</v>
      </c>
      <c r="V7" s="20">
        <f>+P7*13.02%</f>
        <v>317.49921000000001</v>
      </c>
    </row>
    <row r="8" spans="1:22" s="15" customFormat="1" ht="15" customHeight="1">
      <c r="A8" s="22">
        <v>2</v>
      </c>
      <c r="B8" s="23" t="s">
        <v>34</v>
      </c>
      <c r="C8" s="17">
        <v>54</v>
      </c>
      <c r="D8" s="18">
        <v>5</v>
      </c>
      <c r="E8" s="19">
        <v>1666</v>
      </c>
      <c r="F8" s="20">
        <f>75+250</f>
        <v>325</v>
      </c>
      <c r="G8" s="20"/>
      <c r="H8" s="20"/>
      <c r="I8" s="20"/>
      <c r="J8" s="20"/>
      <c r="K8" s="20"/>
      <c r="L8" s="20"/>
      <c r="M8" s="20"/>
      <c r="N8" s="20">
        <v>233</v>
      </c>
      <c r="O8" s="19">
        <f t="shared" ref="O8:O10" si="0">SUM(E8:N8)</f>
        <v>2224</v>
      </c>
      <c r="P8" s="19">
        <f t="shared" ref="P8:P10" si="1">O8-M8-J8</f>
        <v>2224</v>
      </c>
      <c r="Q8" s="20">
        <f t="shared" ref="Q8:Q10" si="2">P8*9%</f>
        <v>200.16</v>
      </c>
      <c r="R8" s="20"/>
      <c r="S8" s="20">
        <f t="shared" ref="S8:S10" si="3">Q8+R8</f>
        <v>200.16</v>
      </c>
      <c r="T8" s="19">
        <f t="shared" ref="T8:T10" si="4">P8+S8</f>
        <v>2424.16</v>
      </c>
      <c r="U8" s="21" t="s">
        <v>18</v>
      </c>
      <c r="V8" s="20">
        <f>+P8*12.88%</f>
        <v>286.45119999999997</v>
      </c>
    </row>
    <row r="9" spans="1:22" s="15" customFormat="1" ht="15" customHeight="1">
      <c r="A9" s="22">
        <v>3</v>
      </c>
      <c r="B9" s="23" t="s">
        <v>7</v>
      </c>
      <c r="C9" s="17">
        <v>42</v>
      </c>
      <c r="D9" s="18">
        <v>5</v>
      </c>
      <c r="E9" s="19">
        <v>1727</v>
      </c>
      <c r="F9" s="20">
        <f>75+96+50+250+86.35</f>
        <v>557.35</v>
      </c>
      <c r="G9" s="20"/>
      <c r="H9" s="20"/>
      <c r="I9" s="20"/>
      <c r="J9" s="20"/>
      <c r="K9" s="20"/>
      <c r="L9" s="20"/>
      <c r="M9" s="20"/>
      <c r="N9" s="20">
        <v>121</v>
      </c>
      <c r="O9" s="19">
        <f t="shared" si="0"/>
        <v>2405.35</v>
      </c>
      <c r="P9" s="19">
        <f t="shared" si="1"/>
        <v>2405.35</v>
      </c>
      <c r="Q9" s="20">
        <f t="shared" si="2"/>
        <v>216.48149999999998</v>
      </c>
      <c r="R9" s="20"/>
      <c r="S9" s="20">
        <f t="shared" si="3"/>
        <v>216.48149999999998</v>
      </c>
      <c r="T9" s="19">
        <f t="shared" si="4"/>
        <v>2621.8314999999998</v>
      </c>
      <c r="U9" s="21" t="s">
        <v>2</v>
      </c>
      <c r="V9" s="20">
        <f>+P9*12.93%</f>
        <v>311.01175499999999</v>
      </c>
    </row>
    <row r="10" spans="1:22" s="15" customFormat="1" ht="15" customHeight="1" thickBot="1">
      <c r="A10" s="53">
        <v>4</v>
      </c>
      <c r="B10" s="54" t="s">
        <v>8</v>
      </c>
      <c r="C10" s="55">
        <v>41</v>
      </c>
      <c r="D10" s="56">
        <v>5</v>
      </c>
      <c r="E10" s="57">
        <v>1951</v>
      </c>
      <c r="F10" s="58">
        <f>75+96+97.55</f>
        <v>268.55</v>
      </c>
      <c r="G10" s="58"/>
      <c r="H10" s="58"/>
      <c r="I10" s="58"/>
      <c r="J10" s="58"/>
      <c r="K10" s="58"/>
      <c r="L10" s="58"/>
      <c r="M10" s="58"/>
      <c r="N10" s="58"/>
      <c r="O10" s="19">
        <f t="shared" si="0"/>
        <v>2219.5500000000002</v>
      </c>
      <c r="P10" s="19">
        <f t="shared" si="1"/>
        <v>2219.5500000000002</v>
      </c>
      <c r="Q10" s="20">
        <f t="shared" si="2"/>
        <v>199.7595</v>
      </c>
      <c r="R10" s="20"/>
      <c r="S10" s="20">
        <f t="shared" si="3"/>
        <v>199.7595</v>
      </c>
      <c r="T10" s="19">
        <f t="shared" si="4"/>
        <v>2419.3095000000003</v>
      </c>
      <c r="U10" s="21" t="s">
        <v>18</v>
      </c>
      <c r="V10" s="20">
        <f>+P10*12.88%</f>
        <v>285.87804</v>
      </c>
    </row>
    <row r="11" spans="1:22" s="15" customFormat="1" ht="15" customHeight="1">
      <c r="A11" s="47">
        <v>1</v>
      </c>
      <c r="B11" s="48" t="s">
        <v>35</v>
      </c>
      <c r="C11" s="49"/>
      <c r="D11" s="50">
        <v>5</v>
      </c>
      <c r="E11" s="51">
        <v>905</v>
      </c>
      <c r="F11" s="52">
        <f>75+84+150+45.25</f>
        <v>354.25</v>
      </c>
      <c r="G11" s="52"/>
      <c r="H11" s="52"/>
      <c r="I11" s="52"/>
      <c r="J11" s="52"/>
      <c r="K11" s="52"/>
      <c r="L11" s="52"/>
      <c r="M11" s="52">
        <v>58.8</v>
      </c>
      <c r="N11" s="52">
        <v>761</v>
      </c>
      <c r="O11" s="19">
        <f>SUM(E11:N11)</f>
        <v>2079.0500000000002</v>
      </c>
      <c r="P11" s="19">
        <f>O11-M11-J11</f>
        <v>2020.2500000000002</v>
      </c>
      <c r="Q11" s="20">
        <f>P11*9%</f>
        <v>181.82250000000002</v>
      </c>
      <c r="R11" s="20"/>
      <c r="S11" s="20">
        <f>Q11+R11</f>
        <v>181.82250000000002</v>
      </c>
      <c r="T11" s="19">
        <f>P11+S11</f>
        <v>2202.0725000000002</v>
      </c>
      <c r="U11" s="21" t="s">
        <v>0</v>
      </c>
      <c r="V11" s="20">
        <f>+P11*13.02%</f>
        <v>263.03654999999998</v>
      </c>
    </row>
    <row r="12" spans="1:22" s="15" customFormat="1" ht="15" customHeight="1">
      <c r="A12" s="22">
        <v>2</v>
      </c>
      <c r="B12" s="23" t="s">
        <v>36</v>
      </c>
      <c r="C12" s="17"/>
      <c r="D12" s="18">
        <v>5</v>
      </c>
      <c r="E12" s="19">
        <v>880</v>
      </c>
      <c r="F12" s="20">
        <v>80</v>
      </c>
      <c r="G12" s="20"/>
      <c r="H12" s="20"/>
      <c r="I12" s="20"/>
      <c r="J12" s="20"/>
      <c r="K12" s="20"/>
      <c r="L12" s="20"/>
      <c r="M12" s="20">
        <v>56</v>
      </c>
      <c r="N12" s="20">
        <v>786</v>
      </c>
      <c r="O12" s="19">
        <f t="shared" ref="O12" si="5">SUM(E12:N12)</f>
        <v>1802</v>
      </c>
      <c r="P12" s="19">
        <f t="shared" ref="P12" si="6">O12-M12-J12</f>
        <v>1746</v>
      </c>
      <c r="Q12" s="20">
        <f t="shared" ref="Q12:Q13" si="7">P12*9%</f>
        <v>157.13999999999999</v>
      </c>
      <c r="R12" s="20"/>
      <c r="S12" s="20">
        <f t="shared" ref="S12" si="8">Q12+R12</f>
        <v>157.13999999999999</v>
      </c>
      <c r="T12" s="19">
        <f t="shared" ref="T12" si="9">P12+S12</f>
        <v>1903.1399999999999</v>
      </c>
      <c r="U12" s="21" t="s">
        <v>2</v>
      </c>
      <c r="V12" s="20">
        <f>+P12*12.93%</f>
        <v>225.7578</v>
      </c>
    </row>
    <row r="13" spans="1:22" s="15" customFormat="1" ht="15" customHeight="1" thickBot="1">
      <c r="A13" s="53">
        <v>3</v>
      </c>
      <c r="B13" s="54" t="s">
        <v>37</v>
      </c>
      <c r="C13" s="55"/>
      <c r="D13" s="56">
        <v>5</v>
      </c>
      <c r="E13" s="57">
        <v>905</v>
      </c>
      <c r="F13" s="58">
        <f>72+45.25</f>
        <v>117.25</v>
      </c>
      <c r="G13" s="58"/>
      <c r="H13" s="58"/>
      <c r="I13" s="58"/>
      <c r="J13" s="58"/>
      <c r="K13" s="58"/>
      <c r="L13" s="58"/>
      <c r="M13" s="58"/>
      <c r="N13" s="58">
        <v>761</v>
      </c>
      <c r="O13" s="19">
        <f t="shared" ref="O13" si="10">SUM(E13:N13)</f>
        <v>1783.25</v>
      </c>
      <c r="P13" s="19">
        <f t="shared" ref="P13" si="11">O13-M13-J13</f>
        <v>1783.25</v>
      </c>
      <c r="Q13" s="20">
        <f t="shared" si="7"/>
        <v>160.49250000000001</v>
      </c>
      <c r="R13" s="20"/>
      <c r="S13" s="20">
        <f t="shared" ref="S13" si="12">Q13+R13</f>
        <v>160.49250000000001</v>
      </c>
      <c r="T13" s="19">
        <f t="shared" ref="T13" si="13">P13+S13</f>
        <v>1943.7425000000001</v>
      </c>
      <c r="U13" s="21" t="s">
        <v>2</v>
      </c>
      <c r="V13" s="20">
        <f>+P13*12.93%</f>
        <v>230.57422499999998</v>
      </c>
    </row>
    <row r="14" spans="1:22" s="15" customFormat="1" ht="15" customHeight="1">
      <c r="A14" s="47">
        <v>1</v>
      </c>
      <c r="B14" s="48" t="s">
        <v>38</v>
      </c>
      <c r="C14" s="49">
        <v>5</v>
      </c>
      <c r="D14" s="50"/>
      <c r="E14" s="51">
        <v>1899</v>
      </c>
      <c r="F14" s="52">
        <v>96</v>
      </c>
      <c r="G14" s="52"/>
      <c r="H14" s="52"/>
      <c r="I14" s="52"/>
      <c r="J14" s="52"/>
      <c r="K14" s="52"/>
      <c r="L14" s="52"/>
      <c r="M14" s="52"/>
      <c r="N14" s="52"/>
      <c r="O14" s="19">
        <f>SUM(E14:N14)</f>
        <v>1995</v>
      </c>
      <c r="P14" s="19">
        <f>O14-M14-J14</f>
        <v>1995</v>
      </c>
      <c r="Q14" s="20">
        <f>P14*9%</f>
        <v>179.54999999999998</v>
      </c>
      <c r="R14" s="20"/>
      <c r="S14" s="20">
        <f>Q14+R14</f>
        <v>179.54999999999998</v>
      </c>
      <c r="T14" s="19">
        <f>P14+S14</f>
        <v>2174.5500000000002</v>
      </c>
      <c r="U14" s="21" t="s">
        <v>19</v>
      </c>
      <c r="V14" s="20">
        <f>199.5+26.53+9.38</f>
        <v>235.41</v>
      </c>
    </row>
    <row r="15" spans="1:22" s="15" customFormat="1" ht="15" customHeight="1">
      <c r="A15" s="22">
        <v>2</v>
      </c>
      <c r="B15" s="23" t="s">
        <v>26</v>
      </c>
      <c r="C15" s="17">
        <v>29</v>
      </c>
      <c r="D15" s="18"/>
      <c r="E15" s="19">
        <v>2000</v>
      </c>
      <c r="F15" s="20"/>
      <c r="G15" s="20"/>
      <c r="H15" s="20"/>
      <c r="I15" s="20"/>
      <c r="J15" s="20"/>
      <c r="K15" s="20"/>
      <c r="L15" s="20"/>
      <c r="M15" s="20"/>
      <c r="N15" s="20"/>
      <c r="O15" s="19">
        <f t="shared" ref="O15:O18" si="14">SUM(E15:N15)</f>
        <v>2000</v>
      </c>
      <c r="P15" s="19">
        <f t="shared" ref="P15:P18" si="15">O15-M15-J15</f>
        <v>2000</v>
      </c>
      <c r="Q15" s="20">
        <f t="shared" ref="Q15:Q18" si="16">P15*9%</f>
        <v>180</v>
      </c>
      <c r="R15" s="20"/>
      <c r="S15" s="20">
        <f t="shared" ref="S15:S18" si="17">Q15+R15</f>
        <v>180</v>
      </c>
      <c r="T15" s="19">
        <f t="shared" ref="T15:T18" si="18">P15+S15</f>
        <v>2180</v>
      </c>
      <c r="U15" s="21" t="s">
        <v>0</v>
      </c>
      <c r="V15" s="20">
        <f>200+26.6+29.8</f>
        <v>256.39999999999998</v>
      </c>
    </row>
    <row r="16" spans="1:22" s="15" customFormat="1" ht="15" customHeight="1">
      <c r="A16" s="47">
        <v>1</v>
      </c>
      <c r="B16" s="87" t="s">
        <v>58</v>
      </c>
      <c r="C16" s="17"/>
      <c r="D16" s="18"/>
      <c r="E16" s="19"/>
      <c r="F16" s="20"/>
      <c r="G16" s="20"/>
      <c r="H16" s="20"/>
      <c r="I16" s="20"/>
      <c r="J16" s="20"/>
      <c r="K16" s="20"/>
      <c r="L16" s="20"/>
      <c r="M16" s="20"/>
      <c r="N16" s="20"/>
      <c r="O16" s="19"/>
      <c r="P16" s="19"/>
      <c r="Q16" s="20"/>
      <c r="R16" s="20"/>
      <c r="S16" s="20"/>
      <c r="T16" s="19"/>
      <c r="U16" s="21"/>
      <c r="V16" s="20"/>
    </row>
    <row r="17" spans="1:22" s="15" customFormat="1" ht="15" customHeight="1">
      <c r="A17" s="22">
        <v>3</v>
      </c>
      <c r="B17" s="23" t="s">
        <v>32</v>
      </c>
      <c r="C17" s="17">
        <v>5</v>
      </c>
      <c r="D17" s="18"/>
      <c r="E17" s="19">
        <v>1899</v>
      </c>
      <c r="F17" s="20">
        <v>96</v>
      </c>
      <c r="G17" s="20"/>
      <c r="H17" s="20"/>
      <c r="I17" s="20"/>
      <c r="J17" s="20"/>
      <c r="K17" s="20"/>
      <c r="L17" s="20"/>
      <c r="M17" s="20"/>
      <c r="N17" s="20"/>
      <c r="O17" s="19">
        <f t="shared" si="14"/>
        <v>1995</v>
      </c>
      <c r="P17" s="19">
        <f t="shared" si="15"/>
        <v>1995</v>
      </c>
      <c r="Q17" s="20">
        <f t="shared" si="16"/>
        <v>179.54999999999998</v>
      </c>
      <c r="R17" s="20"/>
      <c r="S17" s="20">
        <f t="shared" si="17"/>
        <v>179.54999999999998</v>
      </c>
      <c r="T17" s="19">
        <f t="shared" si="18"/>
        <v>2174.5500000000002</v>
      </c>
      <c r="U17" s="21" t="s">
        <v>19</v>
      </c>
      <c r="V17" s="20">
        <f t="shared" ref="V17" si="19">199.5+26.53+9.38</f>
        <v>235.41</v>
      </c>
    </row>
    <row r="18" spans="1:22" s="15" customFormat="1" ht="15" customHeight="1" thickBot="1">
      <c r="A18" s="53">
        <v>4</v>
      </c>
      <c r="B18" s="54" t="s">
        <v>20</v>
      </c>
      <c r="C18" s="55">
        <v>56</v>
      </c>
      <c r="D18" s="56">
        <v>5</v>
      </c>
      <c r="E18" s="57">
        <v>2121</v>
      </c>
      <c r="F18" s="58">
        <v>96</v>
      </c>
      <c r="G18" s="58"/>
      <c r="H18" s="58"/>
      <c r="I18" s="58"/>
      <c r="J18" s="58"/>
      <c r="K18" s="58"/>
      <c r="L18" s="58"/>
      <c r="M18" s="58"/>
      <c r="N18" s="58"/>
      <c r="O18" s="19">
        <f t="shared" si="14"/>
        <v>2217</v>
      </c>
      <c r="P18" s="19">
        <f t="shared" si="15"/>
        <v>2217</v>
      </c>
      <c r="Q18" s="20">
        <f t="shared" si="16"/>
        <v>199.53</v>
      </c>
      <c r="R18" s="20"/>
      <c r="S18" s="20">
        <f t="shared" si="17"/>
        <v>199.53</v>
      </c>
      <c r="T18" s="19">
        <f t="shared" si="18"/>
        <v>2416.5300000000002</v>
      </c>
      <c r="U18" s="21" t="s">
        <v>19</v>
      </c>
      <c r="V18" s="20">
        <f>221.7+29.49+10.42</f>
        <v>261.61</v>
      </c>
    </row>
    <row r="19" spans="1:22" s="15" customFormat="1" ht="15" customHeight="1">
      <c r="A19" s="47">
        <v>1</v>
      </c>
      <c r="B19" s="48" t="s">
        <v>39</v>
      </c>
      <c r="C19" s="49">
        <v>14</v>
      </c>
      <c r="D19" s="50">
        <v>5</v>
      </c>
      <c r="E19" s="51">
        <v>1848</v>
      </c>
      <c r="F19" s="52">
        <f>96+25</f>
        <v>121</v>
      </c>
      <c r="G19" s="52"/>
      <c r="H19" s="52"/>
      <c r="I19" s="52"/>
      <c r="J19" s="52"/>
      <c r="K19" s="52"/>
      <c r="L19" s="52"/>
      <c r="M19" s="52"/>
      <c r="N19" s="52"/>
      <c r="O19" s="19">
        <f t="shared" ref="O19:O34" si="20">SUM(E19:N19)</f>
        <v>1969</v>
      </c>
      <c r="P19" s="19">
        <f t="shared" ref="P19:P34" si="21">O19-M19-J19</f>
        <v>1969</v>
      </c>
      <c r="Q19" s="20">
        <f t="shared" ref="Q19:Q34" si="22">P19*9%</f>
        <v>177.20999999999998</v>
      </c>
      <c r="R19" s="20"/>
      <c r="S19" s="20">
        <f t="shared" ref="S19:S34" si="23">Q19+R19</f>
        <v>177.20999999999998</v>
      </c>
      <c r="T19" s="19">
        <f t="shared" ref="T19:T34" si="24">P19+S19</f>
        <v>2146.21</v>
      </c>
      <c r="U19" s="21" t="s">
        <v>19</v>
      </c>
      <c r="V19" s="20">
        <f>196.9+26.19+9.25</f>
        <v>232.34</v>
      </c>
    </row>
    <row r="20" spans="1:22" s="15" customFormat="1" ht="15" customHeight="1">
      <c r="A20" s="22">
        <v>2</v>
      </c>
      <c r="B20" s="23" t="s">
        <v>27</v>
      </c>
      <c r="C20" s="17">
        <v>28</v>
      </c>
      <c r="D20" s="18"/>
      <c r="E20" s="19">
        <v>1899</v>
      </c>
      <c r="F20" s="20">
        <v>75</v>
      </c>
      <c r="G20" s="20"/>
      <c r="H20" s="20"/>
      <c r="I20" s="20"/>
      <c r="J20" s="20"/>
      <c r="K20" s="20"/>
      <c r="L20" s="20"/>
      <c r="M20" s="20"/>
      <c r="N20" s="20"/>
      <c r="O20" s="19">
        <f t="shared" si="20"/>
        <v>1974</v>
      </c>
      <c r="P20" s="19">
        <f t="shared" si="21"/>
        <v>1974</v>
      </c>
      <c r="Q20" s="20">
        <f t="shared" si="22"/>
        <v>177.66</v>
      </c>
      <c r="R20" s="20"/>
      <c r="S20" s="20">
        <f t="shared" si="23"/>
        <v>177.66</v>
      </c>
      <c r="T20" s="19">
        <f t="shared" si="24"/>
        <v>2151.66</v>
      </c>
      <c r="U20" s="21" t="s">
        <v>18</v>
      </c>
      <c r="V20" s="20">
        <f>+P20*12.88%</f>
        <v>254.25119999999998</v>
      </c>
    </row>
    <row r="21" spans="1:22" s="15" customFormat="1" ht="15" customHeight="1">
      <c r="A21" s="22">
        <v>1</v>
      </c>
      <c r="B21" s="23" t="s">
        <v>21</v>
      </c>
      <c r="C21" s="17">
        <v>15</v>
      </c>
      <c r="D21" s="18">
        <v>5</v>
      </c>
      <c r="E21" s="19">
        <v>1666</v>
      </c>
      <c r="F21" s="20">
        <f>75+92</f>
        <v>167</v>
      </c>
      <c r="G21" s="20"/>
      <c r="H21" s="20"/>
      <c r="I21" s="20"/>
      <c r="J21" s="20"/>
      <c r="K21" s="20"/>
      <c r="L21" s="20"/>
      <c r="M21" s="20">
        <v>80.5</v>
      </c>
      <c r="N21" s="20"/>
      <c r="O21" s="19">
        <f t="shared" si="20"/>
        <v>1913.5</v>
      </c>
      <c r="P21" s="19">
        <f t="shared" si="21"/>
        <v>1833</v>
      </c>
      <c r="Q21" s="20">
        <f t="shared" si="22"/>
        <v>164.97</v>
      </c>
      <c r="R21" s="20"/>
      <c r="S21" s="20">
        <f t="shared" si="23"/>
        <v>164.97</v>
      </c>
      <c r="T21" s="19">
        <f t="shared" si="24"/>
        <v>1997.97</v>
      </c>
      <c r="U21" s="21" t="s">
        <v>2</v>
      </c>
      <c r="V21" s="20">
        <f>+P21*12.93%</f>
        <v>237.0069</v>
      </c>
    </row>
    <row r="22" spans="1:22" s="15" customFormat="1" ht="15" customHeight="1">
      <c r="A22" s="22">
        <v>2</v>
      </c>
      <c r="B22" s="23" t="s">
        <v>44</v>
      </c>
      <c r="C22" s="17">
        <v>4</v>
      </c>
      <c r="D22" s="18">
        <v>5</v>
      </c>
      <c r="E22" s="19">
        <v>1666</v>
      </c>
      <c r="F22" s="20">
        <f>75+96+116.07+58.03</f>
        <v>345.1</v>
      </c>
      <c r="G22" s="20"/>
      <c r="H22" s="20"/>
      <c r="I22" s="20"/>
      <c r="J22" s="20"/>
      <c r="K22" s="20"/>
      <c r="L22" s="20"/>
      <c r="M22" s="20">
        <v>92</v>
      </c>
      <c r="N22" s="20"/>
      <c r="O22" s="19">
        <f t="shared" si="20"/>
        <v>2103.1</v>
      </c>
      <c r="P22" s="19">
        <f t="shared" si="21"/>
        <v>2011.1</v>
      </c>
      <c r="Q22" s="20">
        <f t="shared" si="22"/>
        <v>180.999</v>
      </c>
      <c r="R22" s="20"/>
      <c r="S22" s="20">
        <f t="shared" si="23"/>
        <v>180.999</v>
      </c>
      <c r="T22" s="19">
        <f t="shared" si="24"/>
        <v>2192.0989999999997</v>
      </c>
      <c r="U22" s="21" t="s">
        <v>1</v>
      </c>
      <c r="V22" s="20">
        <f>+P22*13%</f>
        <v>261.44299999999998</v>
      </c>
    </row>
    <row r="23" spans="1:22" s="15" customFormat="1" ht="15" customHeight="1">
      <c r="A23" s="22">
        <v>3</v>
      </c>
      <c r="B23" s="23" t="s">
        <v>11</v>
      </c>
      <c r="C23" s="17">
        <v>26</v>
      </c>
      <c r="D23" s="18">
        <v>5</v>
      </c>
      <c r="E23" s="19">
        <v>1899</v>
      </c>
      <c r="F23" s="20">
        <f>75+96</f>
        <v>171</v>
      </c>
      <c r="G23" s="20"/>
      <c r="H23" s="20"/>
      <c r="I23" s="20"/>
      <c r="J23" s="20"/>
      <c r="K23" s="20"/>
      <c r="L23" s="20"/>
      <c r="M23" s="20"/>
      <c r="N23" s="20"/>
      <c r="O23" s="19">
        <f t="shared" si="20"/>
        <v>2070</v>
      </c>
      <c r="P23" s="19">
        <f t="shared" si="21"/>
        <v>2070</v>
      </c>
      <c r="Q23" s="20">
        <f t="shared" si="22"/>
        <v>186.29999999999998</v>
      </c>
      <c r="R23" s="20"/>
      <c r="S23" s="20">
        <f t="shared" si="23"/>
        <v>186.29999999999998</v>
      </c>
      <c r="T23" s="19">
        <f t="shared" si="24"/>
        <v>2256.3000000000002</v>
      </c>
      <c r="U23" s="21" t="s">
        <v>18</v>
      </c>
      <c r="V23" s="20">
        <f>207+27.53+30.02</f>
        <v>264.55</v>
      </c>
    </row>
    <row r="24" spans="1:22" s="15" customFormat="1" ht="15" customHeight="1">
      <c r="A24" s="22">
        <v>3</v>
      </c>
      <c r="B24" s="23" t="s">
        <v>45</v>
      </c>
      <c r="C24" s="17"/>
      <c r="D24" s="18">
        <v>5</v>
      </c>
      <c r="E24" s="19">
        <v>1125</v>
      </c>
      <c r="F24" s="20">
        <f>75+84+150</f>
        <v>309</v>
      </c>
      <c r="G24" s="20"/>
      <c r="H24" s="20"/>
      <c r="I24" s="20"/>
      <c r="J24" s="20"/>
      <c r="K24" s="20"/>
      <c r="L24" s="20"/>
      <c r="M24" s="20"/>
      <c r="N24" s="20">
        <v>541</v>
      </c>
      <c r="O24" s="19">
        <f t="shared" si="20"/>
        <v>1975</v>
      </c>
      <c r="P24" s="19">
        <f t="shared" si="21"/>
        <v>1975</v>
      </c>
      <c r="Q24" s="20">
        <f t="shared" si="22"/>
        <v>177.75</v>
      </c>
      <c r="R24" s="20"/>
      <c r="S24" s="20">
        <f t="shared" si="23"/>
        <v>177.75</v>
      </c>
      <c r="T24" s="19">
        <f t="shared" si="24"/>
        <v>2152.75</v>
      </c>
      <c r="U24" s="21" t="s">
        <v>18</v>
      </c>
      <c r="V24" s="20">
        <f>+P24*12.88%</f>
        <v>254.38</v>
      </c>
    </row>
    <row r="25" spans="1:22" s="15" customFormat="1" ht="15" customHeight="1">
      <c r="A25" s="22">
        <v>4</v>
      </c>
      <c r="B25" s="23" t="s">
        <v>46</v>
      </c>
      <c r="C25" s="17">
        <v>31</v>
      </c>
      <c r="D25" s="18">
        <v>5</v>
      </c>
      <c r="E25" s="19">
        <v>1848</v>
      </c>
      <c r="F25" s="20">
        <f>75+150</f>
        <v>225</v>
      </c>
      <c r="G25" s="20"/>
      <c r="H25" s="20"/>
      <c r="I25" s="20"/>
      <c r="J25" s="20"/>
      <c r="K25" s="20">
        <v>1923</v>
      </c>
      <c r="L25" s="20"/>
      <c r="M25" s="20"/>
      <c r="N25" s="20"/>
      <c r="O25" s="19">
        <f t="shared" si="20"/>
        <v>3996</v>
      </c>
      <c r="P25" s="19">
        <f t="shared" si="21"/>
        <v>3996</v>
      </c>
      <c r="Q25" s="20">
        <f t="shared" si="22"/>
        <v>359.64</v>
      </c>
      <c r="R25" s="20"/>
      <c r="S25" s="20">
        <f t="shared" si="23"/>
        <v>359.64</v>
      </c>
      <c r="T25" s="19">
        <f t="shared" si="24"/>
        <v>4355.6400000000003</v>
      </c>
      <c r="U25" s="21" t="s">
        <v>18</v>
      </c>
      <c r="V25" s="20">
        <f>+P25*12.88%</f>
        <v>514.6848</v>
      </c>
    </row>
    <row r="26" spans="1:22" s="15" customFormat="1" ht="15" customHeight="1">
      <c r="A26" s="22">
        <v>5</v>
      </c>
      <c r="B26" s="23" t="s">
        <v>41</v>
      </c>
      <c r="C26" s="17">
        <v>15</v>
      </c>
      <c r="D26" s="18"/>
      <c r="E26" s="19">
        <v>1848</v>
      </c>
      <c r="F26" s="20">
        <f>92+123.2+61.6</f>
        <v>276.8</v>
      </c>
      <c r="G26" s="20"/>
      <c r="H26" s="20"/>
      <c r="I26" s="20"/>
      <c r="J26" s="20"/>
      <c r="K26" s="20"/>
      <c r="L26" s="20"/>
      <c r="M26" s="20">
        <v>92</v>
      </c>
      <c r="N26" s="20"/>
      <c r="O26" s="19">
        <f t="shared" si="20"/>
        <v>2216.8000000000002</v>
      </c>
      <c r="P26" s="19">
        <f t="shared" si="21"/>
        <v>2124.8000000000002</v>
      </c>
      <c r="Q26" s="20">
        <f t="shared" si="22"/>
        <v>191.232</v>
      </c>
      <c r="R26" s="20"/>
      <c r="S26" s="20">
        <f t="shared" si="23"/>
        <v>191.232</v>
      </c>
      <c r="T26" s="19">
        <f t="shared" si="24"/>
        <v>2316.0320000000002</v>
      </c>
      <c r="U26" s="21" t="s">
        <v>0</v>
      </c>
      <c r="V26" s="20">
        <f>+P26*13.02%</f>
        <v>276.64895999999999</v>
      </c>
    </row>
    <row r="27" spans="1:22" s="15" customFormat="1" ht="15" customHeight="1">
      <c r="A27" s="22">
        <v>5</v>
      </c>
      <c r="B27" s="23" t="s">
        <v>13</v>
      </c>
      <c r="C27" s="17">
        <v>3</v>
      </c>
      <c r="D27" s="18">
        <v>5</v>
      </c>
      <c r="E27" s="19">
        <v>1666</v>
      </c>
      <c r="F27" s="20">
        <f>75+40+25</f>
        <v>140</v>
      </c>
      <c r="G27" s="20"/>
      <c r="H27" s="20"/>
      <c r="I27" s="20"/>
      <c r="J27" s="20"/>
      <c r="K27" s="20"/>
      <c r="L27" s="20"/>
      <c r="M27" s="20"/>
      <c r="N27" s="20"/>
      <c r="O27" s="19">
        <f t="shared" si="20"/>
        <v>1806</v>
      </c>
      <c r="P27" s="19">
        <f t="shared" si="21"/>
        <v>1806</v>
      </c>
      <c r="Q27" s="20">
        <f t="shared" si="22"/>
        <v>162.54</v>
      </c>
      <c r="R27" s="20"/>
      <c r="S27" s="20">
        <f t="shared" si="23"/>
        <v>162.54</v>
      </c>
      <c r="T27" s="19">
        <f t="shared" si="24"/>
        <v>1968.54</v>
      </c>
      <c r="U27" s="21" t="s">
        <v>0</v>
      </c>
      <c r="V27" s="20">
        <f>+P27*13.02%</f>
        <v>235.14119999999997</v>
      </c>
    </row>
    <row r="28" spans="1:22" s="15" customFormat="1" ht="15" customHeight="1">
      <c r="A28" s="22">
        <v>4</v>
      </c>
      <c r="B28" s="23" t="s">
        <v>40</v>
      </c>
      <c r="C28" s="17">
        <v>23</v>
      </c>
      <c r="D28" s="18"/>
      <c r="E28" s="19">
        <v>1848</v>
      </c>
      <c r="F28" s="20">
        <f>75+96</f>
        <v>171</v>
      </c>
      <c r="G28" s="20"/>
      <c r="H28" s="20"/>
      <c r="I28" s="20"/>
      <c r="J28" s="20"/>
      <c r="K28" s="20"/>
      <c r="L28" s="20"/>
      <c r="M28" s="20"/>
      <c r="N28" s="20"/>
      <c r="O28" s="19">
        <f t="shared" si="20"/>
        <v>2019</v>
      </c>
      <c r="P28" s="19">
        <f t="shared" si="21"/>
        <v>2019</v>
      </c>
      <c r="Q28" s="20">
        <f t="shared" si="22"/>
        <v>181.70999999999998</v>
      </c>
      <c r="R28" s="20"/>
      <c r="S28" s="20">
        <f t="shared" si="23"/>
        <v>181.70999999999998</v>
      </c>
      <c r="T28" s="19">
        <f t="shared" si="24"/>
        <v>2200.71</v>
      </c>
      <c r="U28" s="21" t="s">
        <v>0</v>
      </c>
      <c r="V28" s="20">
        <f>+P28*13.02%</f>
        <v>262.87379999999996</v>
      </c>
    </row>
    <row r="29" spans="1:22" s="15" customFormat="1" ht="14.25">
      <c r="A29" s="22">
        <v>8</v>
      </c>
      <c r="B29" s="23" t="s">
        <v>30</v>
      </c>
      <c r="C29" s="17">
        <v>15</v>
      </c>
      <c r="D29" s="18"/>
      <c r="E29" s="19">
        <v>1848</v>
      </c>
      <c r="F29" s="20">
        <f>92+123.2+61.6</f>
        <v>276.8</v>
      </c>
      <c r="G29" s="20"/>
      <c r="H29" s="20"/>
      <c r="I29" s="20"/>
      <c r="J29" s="20"/>
      <c r="K29" s="20"/>
      <c r="L29" s="20"/>
      <c r="M29" s="20">
        <v>92</v>
      </c>
      <c r="N29" s="20"/>
      <c r="O29" s="19">
        <f t="shared" si="20"/>
        <v>2216.8000000000002</v>
      </c>
      <c r="P29" s="19">
        <f t="shared" si="21"/>
        <v>2124.8000000000002</v>
      </c>
      <c r="Q29" s="20">
        <f t="shared" si="22"/>
        <v>191.232</v>
      </c>
      <c r="R29" s="20"/>
      <c r="S29" s="20">
        <f t="shared" si="23"/>
        <v>191.232</v>
      </c>
      <c r="T29" s="19">
        <f t="shared" si="24"/>
        <v>2316.0320000000002</v>
      </c>
      <c r="U29" s="21" t="s">
        <v>18</v>
      </c>
      <c r="V29" s="20">
        <f>+P29*12.88%</f>
        <v>273.67424</v>
      </c>
    </row>
    <row r="30" spans="1:22" s="15" customFormat="1" ht="14.25">
      <c r="A30" s="22">
        <v>6</v>
      </c>
      <c r="B30" s="23" t="s">
        <v>14</v>
      </c>
      <c r="C30" s="17">
        <v>33</v>
      </c>
      <c r="D30" s="18">
        <v>5</v>
      </c>
      <c r="E30" s="19">
        <v>1951</v>
      </c>
      <c r="F30" s="20">
        <f>75+96+135.07+67.53</f>
        <v>373.6</v>
      </c>
      <c r="G30" s="20"/>
      <c r="H30" s="20"/>
      <c r="I30" s="20"/>
      <c r="J30" s="20"/>
      <c r="K30" s="20"/>
      <c r="L30" s="20"/>
      <c r="M30" s="20">
        <v>92</v>
      </c>
      <c r="N30" s="20"/>
      <c r="O30" s="19">
        <f t="shared" si="20"/>
        <v>2416.6</v>
      </c>
      <c r="P30" s="19">
        <f t="shared" si="21"/>
        <v>2324.6</v>
      </c>
      <c r="Q30" s="20">
        <f t="shared" si="22"/>
        <v>209.21399999999997</v>
      </c>
      <c r="R30" s="20"/>
      <c r="S30" s="20">
        <f t="shared" si="23"/>
        <v>209.21399999999997</v>
      </c>
      <c r="T30" s="19">
        <f t="shared" si="24"/>
        <v>2533.8139999999999</v>
      </c>
      <c r="U30" s="21" t="s">
        <v>0</v>
      </c>
      <c r="V30" s="20">
        <f>+P30*13.02%</f>
        <v>302.66291999999993</v>
      </c>
    </row>
    <row r="31" spans="1:22" s="15" customFormat="1" ht="14.25">
      <c r="A31" s="22">
        <v>7</v>
      </c>
      <c r="B31" s="23" t="s">
        <v>42</v>
      </c>
      <c r="C31" s="17">
        <v>15</v>
      </c>
      <c r="D31" s="18">
        <v>5</v>
      </c>
      <c r="E31" s="19">
        <v>1848</v>
      </c>
      <c r="F31" s="20">
        <v>96</v>
      </c>
      <c r="G31" s="20"/>
      <c r="H31" s="20"/>
      <c r="I31" s="20"/>
      <c r="J31" s="20"/>
      <c r="K31" s="20"/>
      <c r="L31" s="20"/>
      <c r="M31" s="20">
        <v>23</v>
      </c>
      <c r="N31" s="20"/>
      <c r="O31" s="19">
        <f t="shared" si="20"/>
        <v>1967</v>
      </c>
      <c r="P31" s="19">
        <f t="shared" si="21"/>
        <v>1944</v>
      </c>
      <c r="Q31" s="20">
        <f t="shared" si="22"/>
        <v>174.95999999999998</v>
      </c>
      <c r="R31" s="20"/>
      <c r="S31" s="20">
        <f t="shared" si="23"/>
        <v>174.95999999999998</v>
      </c>
      <c r="T31" s="19">
        <f t="shared" si="24"/>
        <v>2118.96</v>
      </c>
      <c r="U31" s="21" t="s">
        <v>0</v>
      </c>
      <c r="V31" s="20">
        <f>194.4+25.86+28.97</f>
        <v>249.23</v>
      </c>
    </row>
    <row r="32" spans="1:22" s="15" customFormat="1" ht="14.25">
      <c r="A32" s="22">
        <v>6</v>
      </c>
      <c r="B32" s="23" t="s">
        <v>15</v>
      </c>
      <c r="C32" s="17">
        <v>4</v>
      </c>
      <c r="D32" s="18">
        <v>5</v>
      </c>
      <c r="E32" s="19">
        <v>1666</v>
      </c>
      <c r="F32" s="20">
        <f>75+92+116.07+58.03</f>
        <v>341.1</v>
      </c>
      <c r="G32" s="20"/>
      <c r="H32" s="20"/>
      <c r="I32" s="20"/>
      <c r="J32" s="20"/>
      <c r="K32" s="20"/>
      <c r="L32" s="20"/>
      <c r="M32" s="20">
        <v>92</v>
      </c>
      <c r="N32" s="20"/>
      <c r="O32" s="19">
        <f t="shared" si="20"/>
        <v>2099.1</v>
      </c>
      <c r="P32" s="19">
        <f t="shared" si="21"/>
        <v>2007.1</v>
      </c>
      <c r="Q32" s="20">
        <f t="shared" si="22"/>
        <v>180.63899999999998</v>
      </c>
      <c r="R32" s="20"/>
      <c r="S32" s="20">
        <f t="shared" si="23"/>
        <v>180.63899999999998</v>
      </c>
      <c r="T32" s="19">
        <f t="shared" si="24"/>
        <v>2187.739</v>
      </c>
      <c r="U32" s="21" t="s">
        <v>18</v>
      </c>
      <c r="V32" s="20">
        <f>200.71+26.69+29.1</f>
        <v>256.5</v>
      </c>
    </row>
    <row r="33" spans="1:22" s="15" customFormat="1" ht="14.25">
      <c r="A33" s="22">
        <v>9</v>
      </c>
      <c r="B33" s="23" t="s">
        <v>43</v>
      </c>
      <c r="C33" s="17">
        <v>22</v>
      </c>
      <c r="D33" s="18">
        <v>5</v>
      </c>
      <c r="E33" s="19">
        <v>1848</v>
      </c>
      <c r="F33" s="20">
        <f>75+92+128.2+64.1</f>
        <v>359.29999999999995</v>
      </c>
      <c r="G33" s="20"/>
      <c r="H33" s="20"/>
      <c r="I33" s="20"/>
      <c r="J33" s="20"/>
      <c r="K33" s="20"/>
      <c r="L33" s="20"/>
      <c r="M33" s="20">
        <v>92</v>
      </c>
      <c r="N33" s="20"/>
      <c r="O33" s="19">
        <f t="shared" si="20"/>
        <v>2299.3000000000002</v>
      </c>
      <c r="P33" s="19">
        <f t="shared" si="21"/>
        <v>2207.3000000000002</v>
      </c>
      <c r="Q33" s="20">
        <f t="shared" si="22"/>
        <v>198.65700000000001</v>
      </c>
      <c r="R33" s="20"/>
      <c r="S33" s="20">
        <f t="shared" si="23"/>
        <v>198.65700000000001</v>
      </c>
      <c r="T33" s="19">
        <f t="shared" si="24"/>
        <v>2405.9570000000003</v>
      </c>
      <c r="U33" s="21" t="s">
        <v>1</v>
      </c>
      <c r="V33" s="20">
        <f>+P33*13%</f>
        <v>286.94900000000001</v>
      </c>
    </row>
    <row r="34" spans="1:22" s="15" customFormat="1" ht="14.25">
      <c r="A34" s="63">
        <v>10</v>
      </c>
      <c r="B34" s="64" t="s">
        <v>23</v>
      </c>
      <c r="C34" s="24">
        <v>27</v>
      </c>
      <c r="D34" s="25">
        <v>5</v>
      </c>
      <c r="E34" s="26">
        <v>1899</v>
      </c>
      <c r="F34" s="27">
        <v>75</v>
      </c>
      <c r="G34" s="27"/>
      <c r="H34" s="27"/>
      <c r="I34" s="27"/>
      <c r="J34" s="27"/>
      <c r="K34" s="27"/>
      <c r="L34" s="27"/>
      <c r="M34" s="27"/>
      <c r="N34" s="27"/>
      <c r="O34" s="26">
        <f t="shared" si="20"/>
        <v>1974</v>
      </c>
      <c r="P34" s="26">
        <f t="shared" si="21"/>
        <v>1974</v>
      </c>
      <c r="Q34" s="27">
        <f t="shared" si="22"/>
        <v>177.66</v>
      </c>
      <c r="R34" s="27"/>
      <c r="S34" s="27">
        <f t="shared" si="23"/>
        <v>177.66</v>
      </c>
      <c r="T34" s="26">
        <f t="shared" si="24"/>
        <v>2151.66</v>
      </c>
      <c r="U34" s="28" t="s">
        <v>18</v>
      </c>
      <c r="V34" s="27">
        <f>+P34*12.88%</f>
        <v>254.25119999999998</v>
      </c>
    </row>
    <row r="35" spans="1:22" s="9" customFormat="1"/>
    <row r="36" spans="1:22" s="9" customFormat="1"/>
    <row r="37" spans="1:22" s="9" customFormat="1"/>
    <row r="38" spans="1:22" s="9" customFormat="1"/>
    <row r="39" spans="1:22" s="9" customFormat="1"/>
    <row r="40" spans="1:22" s="9" customFormat="1"/>
    <row r="41" spans="1:22" s="9" customFormat="1"/>
    <row r="42" spans="1:22" s="9" customFormat="1"/>
    <row r="43" spans="1:22" s="9" customFormat="1"/>
    <row r="44" spans="1:22" s="9" customFormat="1"/>
    <row r="45" spans="1:22" s="9" customFormat="1"/>
    <row r="46" spans="1:22" s="9" customFormat="1"/>
    <row r="47" spans="1:22" s="9" customFormat="1"/>
    <row r="48" spans="1:22" s="9" customFormat="1"/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/>
    <row r="58" s="9" customFormat="1"/>
    <row r="59" s="9" customFormat="1"/>
    <row r="60" s="9" customFormat="1"/>
    <row r="61" s="9" customFormat="1"/>
    <row r="62" s="9" customFormat="1"/>
    <row r="63" s="9" customFormat="1"/>
    <row r="64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  <row r="81" s="9" customFormat="1"/>
    <row r="82" s="9" customFormat="1"/>
    <row r="83" s="9" customFormat="1"/>
    <row r="84" s="9" customFormat="1"/>
    <row r="85" s="9" customFormat="1"/>
    <row r="86" s="9" customFormat="1"/>
    <row r="87" s="9" customFormat="1"/>
    <row r="88" s="9" customFormat="1"/>
    <row r="89" s="9" customFormat="1"/>
    <row r="90" s="9" customFormat="1"/>
    <row r="91" s="9" customFormat="1"/>
    <row r="92" s="9" customFormat="1"/>
    <row r="93" s="9" customFormat="1"/>
    <row r="94" s="9" customFormat="1"/>
    <row r="95" s="9" customFormat="1"/>
    <row r="96" s="9" customFormat="1"/>
    <row r="97" s="9" customFormat="1"/>
    <row r="98" s="9" customFormat="1"/>
    <row r="99" s="9" customFormat="1"/>
    <row r="100" s="9" customFormat="1"/>
    <row r="101" s="9" customFormat="1"/>
    <row r="102" s="9" customFormat="1"/>
    <row r="103" s="9" customFormat="1"/>
    <row r="104" s="9" customFormat="1"/>
    <row r="105" s="9" customFormat="1"/>
    <row r="106" s="9" customFormat="1"/>
    <row r="107" s="9" customFormat="1"/>
    <row r="108" s="9" customFormat="1"/>
    <row r="109" s="9" customFormat="1"/>
    <row r="110" s="9" customFormat="1"/>
    <row r="111" s="9" customFormat="1"/>
    <row r="112" s="9" customFormat="1"/>
    <row r="113" s="9" customFormat="1"/>
    <row r="114" s="9" customFormat="1"/>
    <row r="115" s="9" customFormat="1"/>
    <row r="116" s="9" customFormat="1"/>
    <row r="117" s="9" customFormat="1"/>
  </sheetData>
  <sortState ref="A16:U31">
    <sortCondition ref="B16"/>
  </sortState>
  <pageMargins left="0.23622047244094491" right="0.23622047244094491" top="0.39370078740157483" bottom="0.39370078740157483" header="0.31496062992125984" footer="0.27559055118110237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18"/>
  <sheetViews>
    <sheetView workbookViewId="0">
      <selection activeCell="A2" sqref="A2:B2"/>
    </sheetView>
  </sheetViews>
  <sheetFormatPr baseColWidth="10" defaultRowHeight="15"/>
  <cols>
    <col min="1" max="1" width="3.7109375" customWidth="1"/>
    <col min="2" max="2" width="24.140625" customWidth="1"/>
    <col min="3" max="4" width="3.7109375" customWidth="1"/>
    <col min="5" max="6" width="9.140625" customWidth="1"/>
    <col min="7" max="7" width="8.28515625" customWidth="1"/>
    <col min="8" max="8" width="6" customWidth="1"/>
    <col min="9" max="10" width="5.7109375" customWidth="1"/>
    <col min="11" max="11" width="8.28515625" customWidth="1"/>
    <col min="12" max="12" width="6.7109375" customWidth="1"/>
    <col min="13" max="13" width="6.5703125" customWidth="1"/>
    <col min="14" max="14" width="8.140625" customWidth="1"/>
    <col min="15" max="15" width="9.140625" customWidth="1"/>
    <col min="16" max="16" width="9.28515625" customWidth="1"/>
    <col min="17" max="17" width="8.140625" customWidth="1"/>
    <col min="18" max="18" width="6.7109375" customWidth="1"/>
    <col min="19" max="19" width="8.28515625" customWidth="1"/>
    <col min="20" max="20" width="9.28515625" customWidth="1"/>
    <col min="21" max="21" width="7.42578125" customWidth="1"/>
    <col min="22" max="22" width="8.42578125" customWidth="1"/>
  </cols>
  <sheetData>
    <row r="1" spans="1:22" s="15" customFormat="1" ht="15" customHeight="1">
      <c r="A1" s="63">
        <v>1</v>
      </c>
      <c r="B1" s="64" t="s">
        <v>33</v>
      </c>
      <c r="C1" s="24">
        <v>181</v>
      </c>
      <c r="D1" s="25">
        <v>5</v>
      </c>
      <c r="E1" s="26">
        <v>2241</v>
      </c>
      <c r="F1" s="27">
        <v>520</v>
      </c>
      <c r="G1" s="27"/>
      <c r="H1" s="27"/>
      <c r="I1" s="27"/>
      <c r="J1" s="27"/>
      <c r="K1" s="27"/>
      <c r="L1" s="27"/>
      <c r="M1" s="27"/>
      <c r="N1" s="27">
        <v>1054</v>
      </c>
      <c r="O1" s="19">
        <f>SUM(E1:N1)</f>
        <v>3815</v>
      </c>
      <c r="P1" s="19">
        <f>O1-M1-J1</f>
        <v>3815</v>
      </c>
      <c r="Q1" s="20">
        <f>P1*9%</f>
        <v>343.34999999999997</v>
      </c>
      <c r="R1" s="20"/>
      <c r="S1" s="20">
        <f>Q1+R1</f>
        <v>343.34999999999997</v>
      </c>
      <c r="T1" s="19">
        <f>P1+S1</f>
        <v>4158.3500000000004</v>
      </c>
      <c r="U1" s="21" t="s">
        <v>0</v>
      </c>
      <c r="V1" s="20">
        <f>+P1*13.02%</f>
        <v>496.71299999999991</v>
      </c>
    </row>
    <row r="2" spans="1:22" s="15" customFormat="1" ht="15" customHeight="1" thickBot="1">
      <c r="A2" s="53">
        <v>1</v>
      </c>
      <c r="B2" s="54" t="s">
        <v>56</v>
      </c>
      <c r="C2" s="49"/>
      <c r="D2" s="50"/>
      <c r="E2" s="51"/>
      <c r="F2" s="52"/>
      <c r="G2" s="52"/>
      <c r="H2" s="52"/>
      <c r="I2" s="52"/>
      <c r="J2" s="52"/>
      <c r="K2" s="52"/>
      <c r="L2" s="52"/>
      <c r="M2" s="52"/>
      <c r="N2" s="52"/>
      <c r="O2" s="19"/>
      <c r="P2" s="19"/>
      <c r="Q2" s="20"/>
      <c r="R2" s="20"/>
      <c r="S2" s="20"/>
      <c r="T2" s="19"/>
      <c r="U2" s="21"/>
      <c r="V2" s="20"/>
    </row>
    <row r="3" spans="1:22" s="15" customFormat="1" ht="15" customHeight="1">
      <c r="A3" s="75">
        <v>1</v>
      </c>
      <c r="B3" s="76" t="s">
        <v>3</v>
      </c>
      <c r="C3" s="77">
        <v>85</v>
      </c>
      <c r="D3" s="78">
        <v>5</v>
      </c>
      <c r="E3" s="79">
        <v>2241</v>
      </c>
      <c r="F3" s="80">
        <f>75+580</f>
        <v>655</v>
      </c>
      <c r="G3" s="80">
        <v>250</v>
      </c>
      <c r="H3" s="80"/>
      <c r="I3" s="80"/>
      <c r="J3" s="80"/>
      <c r="K3" s="80"/>
      <c r="L3" s="80"/>
      <c r="M3" s="80"/>
      <c r="N3" s="80"/>
      <c r="O3" s="19">
        <f>SUM(E3:N3)</f>
        <v>3146</v>
      </c>
      <c r="P3" s="19">
        <f>O3-M3-J3</f>
        <v>3146</v>
      </c>
      <c r="Q3" s="20">
        <f>P3*9%</f>
        <v>283.14</v>
      </c>
      <c r="R3" s="20"/>
      <c r="S3" s="20">
        <f>Q3+R3</f>
        <v>283.14</v>
      </c>
      <c r="T3" s="19">
        <f>P3+S3</f>
        <v>3429.14</v>
      </c>
      <c r="U3" s="21" t="s">
        <v>2</v>
      </c>
      <c r="V3" s="20">
        <f>+P3*12.93%</f>
        <v>406.77780000000001</v>
      </c>
    </row>
    <row r="4" spans="1:22" s="15" customFormat="1" ht="15" customHeight="1" thickBot="1">
      <c r="A4" s="73">
        <v>2</v>
      </c>
      <c r="B4" s="74" t="s">
        <v>56</v>
      </c>
      <c r="C4" s="59"/>
      <c r="D4" s="60"/>
      <c r="E4" s="61"/>
      <c r="F4" s="62"/>
      <c r="G4" s="62"/>
      <c r="H4" s="62"/>
      <c r="I4" s="62"/>
      <c r="J4" s="62"/>
      <c r="K4" s="62"/>
      <c r="L4" s="62"/>
      <c r="M4" s="62"/>
      <c r="N4" s="62"/>
      <c r="O4" s="19"/>
      <c r="P4" s="19"/>
      <c r="Q4" s="20"/>
      <c r="R4" s="20"/>
      <c r="S4" s="20"/>
      <c r="T4" s="19"/>
      <c r="U4" s="21"/>
      <c r="V4" s="20"/>
    </row>
    <row r="5" spans="1:22" s="15" customFormat="1" ht="15" customHeight="1">
      <c r="A5" s="47">
        <v>1</v>
      </c>
      <c r="B5" s="48" t="s">
        <v>4</v>
      </c>
      <c r="C5" s="49">
        <v>42</v>
      </c>
      <c r="D5" s="50">
        <v>5</v>
      </c>
      <c r="E5" s="51">
        <v>1789</v>
      </c>
      <c r="F5" s="52">
        <f>75+480</f>
        <v>555</v>
      </c>
      <c r="G5" s="52">
        <v>150</v>
      </c>
      <c r="H5" s="52"/>
      <c r="I5" s="52"/>
      <c r="J5" s="52"/>
      <c r="K5" s="52"/>
      <c r="L5" s="52"/>
      <c r="M5" s="52"/>
      <c r="N5" s="52">
        <v>110</v>
      </c>
      <c r="O5" s="19">
        <f>SUM(E5:N5)</f>
        <v>2604</v>
      </c>
      <c r="P5" s="19">
        <f>O5-M5-J5</f>
        <v>2604</v>
      </c>
      <c r="Q5" s="20">
        <f>P5*9%</f>
        <v>234.35999999999999</v>
      </c>
      <c r="R5" s="20"/>
      <c r="S5" s="20">
        <f>Q5+R5</f>
        <v>234.35999999999999</v>
      </c>
      <c r="T5" s="19">
        <f>P5+S5</f>
        <v>2838.36</v>
      </c>
      <c r="U5" s="21" t="s">
        <v>0</v>
      </c>
      <c r="V5" s="20">
        <f>+P5*13.02%</f>
        <v>339.04079999999993</v>
      </c>
    </row>
    <row r="6" spans="1:22" s="15" customFormat="1" ht="15" customHeight="1" thickBot="1">
      <c r="A6" s="37">
        <v>2</v>
      </c>
      <c r="B6" s="42" t="s">
        <v>24</v>
      </c>
      <c r="C6" s="59"/>
      <c r="D6" s="60"/>
      <c r="E6" s="61"/>
      <c r="F6" s="62"/>
      <c r="G6" s="62"/>
      <c r="H6" s="62"/>
      <c r="I6" s="62"/>
      <c r="J6" s="62"/>
      <c r="K6" s="62"/>
      <c r="L6" s="62"/>
      <c r="M6" s="62"/>
      <c r="N6" s="62"/>
      <c r="O6" s="19"/>
      <c r="P6" s="19"/>
      <c r="Q6" s="20"/>
      <c r="R6" s="20"/>
      <c r="S6" s="20"/>
      <c r="T6" s="19"/>
      <c r="U6" s="21"/>
      <c r="V6" s="20"/>
    </row>
    <row r="7" spans="1:22" s="15" customFormat="1" ht="15" customHeight="1">
      <c r="A7" s="47">
        <v>1</v>
      </c>
      <c r="B7" s="48" t="s">
        <v>5</v>
      </c>
      <c r="C7" s="49">
        <v>68</v>
      </c>
      <c r="D7" s="50">
        <v>5</v>
      </c>
      <c r="E7" s="51">
        <v>1899</v>
      </c>
      <c r="F7" s="52">
        <f>75+96+520+50</f>
        <v>741</v>
      </c>
      <c r="G7" s="52">
        <v>300</v>
      </c>
      <c r="H7" s="52"/>
      <c r="I7" s="52">
        <v>18.55</v>
      </c>
      <c r="J7" s="52"/>
      <c r="K7" s="52"/>
      <c r="L7" s="52"/>
      <c r="M7" s="52"/>
      <c r="N7" s="52"/>
      <c r="O7" s="19">
        <f>SUM(E7:N7)</f>
        <v>2958.55</v>
      </c>
      <c r="P7" s="19">
        <f>O7-M7-J7</f>
        <v>2958.55</v>
      </c>
      <c r="Q7" s="20">
        <f>P7*9%</f>
        <v>266.26949999999999</v>
      </c>
      <c r="R7" s="20"/>
      <c r="S7" s="20">
        <f>Q7+R7</f>
        <v>266.26949999999999</v>
      </c>
      <c r="T7" s="19">
        <f>P7+S7</f>
        <v>3224.8195000000001</v>
      </c>
      <c r="U7" s="21" t="s">
        <v>0</v>
      </c>
      <c r="V7" s="20">
        <f>+P7*13.02%</f>
        <v>385.20320999999996</v>
      </c>
    </row>
    <row r="8" spans="1:22" s="15" customFormat="1" ht="15" customHeight="1">
      <c r="A8" s="22">
        <v>2</v>
      </c>
      <c r="B8" s="23" t="s">
        <v>34</v>
      </c>
      <c r="C8" s="17">
        <v>54</v>
      </c>
      <c r="D8" s="18">
        <v>5</v>
      </c>
      <c r="E8" s="19">
        <v>1666</v>
      </c>
      <c r="F8" s="20">
        <f>75+520+174.1</f>
        <v>769.1</v>
      </c>
      <c r="G8" s="20">
        <v>250</v>
      </c>
      <c r="H8" s="20"/>
      <c r="I8" s="20"/>
      <c r="J8" s="20"/>
      <c r="K8" s="20"/>
      <c r="L8" s="20"/>
      <c r="M8" s="20">
        <v>69</v>
      </c>
      <c r="N8" s="20">
        <v>233</v>
      </c>
      <c r="O8" s="19">
        <f t="shared" ref="O8:O10" si="0">SUM(E8:N8)</f>
        <v>2987.1</v>
      </c>
      <c r="P8" s="19">
        <f t="shared" ref="P8:P10" si="1">O8-M8-J8</f>
        <v>2918.1</v>
      </c>
      <c r="Q8" s="20">
        <f t="shared" ref="Q8:Q10" si="2">P8*9%</f>
        <v>262.62899999999996</v>
      </c>
      <c r="R8" s="20"/>
      <c r="S8" s="20">
        <f t="shared" ref="S8:S10" si="3">Q8+R8</f>
        <v>262.62899999999996</v>
      </c>
      <c r="T8" s="19">
        <f t="shared" ref="T8:T10" si="4">P8+S8</f>
        <v>3180.7289999999998</v>
      </c>
      <c r="U8" s="21" t="s">
        <v>18</v>
      </c>
      <c r="V8" s="20">
        <f>+P8*12.88%</f>
        <v>375.85127999999997</v>
      </c>
    </row>
    <row r="9" spans="1:22" s="15" customFormat="1" ht="15" customHeight="1">
      <c r="A9" s="22">
        <v>3</v>
      </c>
      <c r="B9" s="23" t="s">
        <v>7</v>
      </c>
      <c r="C9" s="17">
        <v>42</v>
      </c>
      <c r="D9" s="18">
        <v>5</v>
      </c>
      <c r="E9" s="19">
        <v>1727</v>
      </c>
      <c r="F9" s="20">
        <f>75+520</f>
        <v>595</v>
      </c>
      <c r="G9" s="20">
        <v>250</v>
      </c>
      <c r="H9" s="20"/>
      <c r="I9" s="20"/>
      <c r="J9" s="20"/>
      <c r="K9" s="20">
        <v>1923</v>
      </c>
      <c r="L9" s="20"/>
      <c r="M9" s="20"/>
      <c r="N9" s="20">
        <v>121</v>
      </c>
      <c r="O9" s="19">
        <f t="shared" si="0"/>
        <v>4616</v>
      </c>
      <c r="P9" s="19">
        <f t="shared" si="1"/>
        <v>4616</v>
      </c>
      <c r="Q9" s="20">
        <f t="shared" si="2"/>
        <v>415.44</v>
      </c>
      <c r="R9" s="20"/>
      <c r="S9" s="20">
        <f t="shared" si="3"/>
        <v>415.44</v>
      </c>
      <c r="T9" s="19">
        <f t="shared" si="4"/>
        <v>5031.4399999999996</v>
      </c>
      <c r="U9" s="21" t="s">
        <v>2</v>
      </c>
      <c r="V9" s="20">
        <f>+P9*12.93%</f>
        <v>596.84879999999998</v>
      </c>
    </row>
    <row r="10" spans="1:22" s="15" customFormat="1" ht="15" customHeight="1" thickBot="1">
      <c r="A10" s="53">
        <v>4</v>
      </c>
      <c r="B10" s="54" t="s">
        <v>8</v>
      </c>
      <c r="C10" s="55">
        <v>43</v>
      </c>
      <c r="D10" s="56">
        <v>5</v>
      </c>
      <c r="E10" s="57">
        <v>1951</v>
      </c>
      <c r="F10" s="58">
        <f>75+96+520</f>
        <v>691</v>
      </c>
      <c r="G10" s="58"/>
      <c r="H10" s="58"/>
      <c r="I10" s="58"/>
      <c r="J10" s="58"/>
      <c r="K10" s="58"/>
      <c r="L10" s="58"/>
      <c r="M10" s="58"/>
      <c r="N10" s="58"/>
      <c r="O10" s="19">
        <f t="shared" si="0"/>
        <v>2642</v>
      </c>
      <c r="P10" s="19">
        <f t="shared" si="1"/>
        <v>2642</v>
      </c>
      <c r="Q10" s="20">
        <f t="shared" si="2"/>
        <v>237.78</v>
      </c>
      <c r="R10" s="20"/>
      <c r="S10" s="20">
        <f t="shared" si="3"/>
        <v>237.78</v>
      </c>
      <c r="T10" s="19">
        <f t="shared" si="4"/>
        <v>2879.78</v>
      </c>
      <c r="U10" s="21" t="s">
        <v>18</v>
      </c>
      <c r="V10" s="20">
        <f>+P10*12.88%</f>
        <v>340.28960000000001</v>
      </c>
    </row>
    <row r="11" spans="1:22" s="15" customFormat="1" ht="15" customHeight="1">
      <c r="A11" s="47">
        <v>1</v>
      </c>
      <c r="B11" s="48" t="s">
        <v>35</v>
      </c>
      <c r="C11" s="49">
        <v>18</v>
      </c>
      <c r="D11" s="50">
        <v>5</v>
      </c>
      <c r="E11" s="51">
        <v>905</v>
      </c>
      <c r="F11" s="52">
        <f>75+96+580+50</f>
        <v>801</v>
      </c>
      <c r="G11" s="52">
        <v>150</v>
      </c>
      <c r="H11" s="52"/>
      <c r="I11" s="52"/>
      <c r="J11" s="52"/>
      <c r="K11" s="52"/>
      <c r="L11" s="52"/>
      <c r="M11" s="52"/>
      <c r="N11" s="52">
        <v>761</v>
      </c>
      <c r="O11" s="19">
        <f>SUM(E11:N11)</f>
        <v>2617</v>
      </c>
      <c r="P11" s="19">
        <f>O11-M11-J11</f>
        <v>2617</v>
      </c>
      <c r="Q11" s="20">
        <f>P11*9%</f>
        <v>235.53</v>
      </c>
      <c r="R11" s="20"/>
      <c r="S11" s="20">
        <f>Q11+R11</f>
        <v>235.53</v>
      </c>
      <c r="T11" s="19">
        <f>P11+S11</f>
        <v>2852.53</v>
      </c>
      <c r="U11" s="21" t="s">
        <v>0</v>
      </c>
      <c r="V11" s="20">
        <f>+P11*13.02%</f>
        <v>340.73339999999996</v>
      </c>
    </row>
    <row r="12" spans="1:22" s="15" customFormat="1" ht="15" customHeight="1">
      <c r="A12" s="22">
        <v>2</v>
      </c>
      <c r="B12" s="23" t="s">
        <v>36</v>
      </c>
      <c r="C12" s="17"/>
      <c r="D12" s="18"/>
      <c r="E12" s="19">
        <v>880</v>
      </c>
      <c r="F12" s="20">
        <f>96+520</f>
        <v>616</v>
      </c>
      <c r="G12" s="20"/>
      <c r="H12" s="20"/>
      <c r="I12" s="20"/>
      <c r="J12" s="20"/>
      <c r="K12" s="20"/>
      <c r="L12" s="20"/>
      <c r="M12" s="20"/>
      <c r="N12" s="20">
        <v>786</v>
      </c>
      <c r="O12" s="19">
        <f t="shared" ref="O12:O13" si="5">SUM(E12:N12)</f>
        <v>2282</v>
      </c>
      <c r="P12" s="19">
        <f t="shared" ref="P12:P13" si="6">O12-M12-J12</f>
        <v>2282</v>
      </c>
      <c r="Q12" s="20">
        <f t="shared" ref="Q12:Q13" si="7">P12*9%</f>
        <v>205.38</v>
      </c>
      <c r="R12" s="20"/>
      <c r="S12" s="20">
        <f t="shared" ref="S12:S13" si="8">Q12+R12</f>
        <v>205.38</v>
      </c>
      <c r="T12" s="19">
        <f t="shared" ref="T12:T13" si="9">P12+S12</f>
        <v>2487.38</v>
      </c>
      <c r="U12" s="21" t="s">
        <v>2</v>
      </c>
      <c r="V12" s="20">
        <f>+P12*12.93%</f>
        <v>295.06259999999997</v>
      </c>
    </row>
    <row r="13" spans="1:22" s="15" customFormat="1" ht="15" customHeight="1" thickBot="1">
      <c r="A13" s="53">
        <v>3</v>
      </c>
      <c r="B13" s="54" t="s">
        <v>37</v>
      </c>
      <c r="C13" s="55"/>
      <c r="D13" s="56">
        <v>5</v>
      </c>
      <c r="E13" s="57">
        <v>905</v>
      </c>
      <c r="F13" s="58">
        <f>96+580</f>
        <v>676</v>
      </c>
      <c r="G13" s="58"/>
      <c r="H13" s="58"/>
      <c r="I13" s="58"/>
      <c r="J13" s="58"/>
      <c r="K13" s="58"/>
      <c r="L13" s="58"/>
      <c r="M13" s="58"/>
      <c r="N13" s="58">
        <v>761</v>
      </c>
      <c r="O13" s="19">
        <f t="shared" si="5"/>
        <v>2342</v>
      </c>
      <c r="P13" s="19">
        <f t="shared" si="6"/>
        <v>2342</v>
      </c>
      <c r="Q13" s="20">
        <f t="shared" si="7"/>
        <v>210.78</v>
      </c>
      <c r="R13" s="20"/>
      <c r="S13" s="20">
        <f t="shared" si="8"/>
        <v>210.78</v>
      </c>
      <c r="T13" s="19">
        <f t="shared" si="9"/>
        <v>2552.7800000000002</v>
      </c>
      <c r="U13" s="21" t="s">
        <v>2</v>
      </c>
      <c r="V13" s="20">
        <f>+P13*12.93%</f>
        <v>302.82060000000001</v>
      </c>
    </row>
    <row r="14" spans="1:22" s="16" customFormat="1" ht="14.25">
      <c r="A14" s="47">
        <v>1</v>
      </c>
      <c r="B14" s="48" t="s">
        <v>38</v>
      </c>
      <c r="C14" s="49">
        <v>6</v>
      </c>
      <c r="D14" s="50"/>
      <c r="E14" s="51">
        <v>1899</v>
      </c>
      <c r="F14" s="52">
        <v>96</v>
      </c>
      <c r="G14" s="52"/>
      <c r="H14" s="52"/>
      <c r="I14" s="52"/>
      <c r="J14" s="52"/>
      <c r="K14" s="52"/>
      <c r="L14" s="52"/>
      <c r="M14" s="52"/>
      <c r="N14" s="52"/>
      <c r="O14" s="19">
        <f t="shared" ref="O14:O34" si="10">SUM(E14:N14)</f>
        <v>1995</v>
      </c>
      <c r="P14" s="19">
        <f t="shared" ref="P14:P34" si="11">O14-M14-J14</f>
        <v>1995</v>
      </c>
      <c r="Q14" s="20">
        <f t="shared" ref="Q14:Q34" si="12">P14*9%</f>
        <v>179.54999999999998</v>
      </c>
      <c r="R14" s="20"/>
      <c r="S14" s="20">
        <f t="shared" ref="S14:S34" si="13">Q14+R14</f>
        <v>179.54999999999998</v>
      </c>
      <c r="T14" s="19">
        <f t="shared" ref="T14:T34" si="14">P14+S14</f>
        <v>2174.5500000000002</v>
      </c>
      <c r="U14" s="21" t="s">
        <v>19</v>
      </c>
      <c r="V14" s="20">
        <f>199.5+26.53+9.38</f>
        <v>235.41</v>
      </c>
    </row>
    <row r="15" spans="1:22" s="15" customFormat="1" ht="15" customHeight="1">
      <c r="A15" s="22">
        <v>2</v>
      </c>
      <c r="B15" s="23" t="s">
        <v>26</v>
      </c>
      <c r="C15" s="17">
        <v>29</v>
      </c>
      <c r="D15" s="18">
        <v>5</v>
      </c>
      <c r="E15" s="19">
        <v>2000</v>
      </c>
      <c r="F15" s="20"/>
      <c r="G15" s="20"/>
      <c r="H15" s="20"/>
      <c r="I15" s="20"/>
      <c r="J15" s="20"/>
      <c r="K15" s="20"/>
      <c r="L15" s="20"/>
      <c r="M15" s="20"/>
      <c r="N15" s="20"/>
      <c r="O15" s="19">
        <f t="shared" si="10"/>
        <v>2000</v>
      </c>
      <c r="P15" s="19">
        <f t="shared" si="11"/>
        <v>2000</v>
      </c>
      <c r="Q15" s="20">
        <f t="shared" si="12"/>
        <v>180</v>
      </c>
      <c r="R15" s="20"/>
      <c r="S15" s="20">
        <f t="shared" si="13"/>
        <v>180</v>
      </c>
      <c r="T15" s="19">
        <f t="shared" si="14"/>
        <v>2180</v>
      </c>
      <c r="U15" s="21" t="s">
        <v>0</v>
      </c>
      <c r="V15" s="20">
        <f>200+26.6+29.8</f>
        <v>256.39999999999998</v>
      </c>
    </row>
    <row r="16" spans="1:22" s="15" customFormat="1" ht="15" customHeight="1">
      <c r="A16" s="47">
        <v>1</v>
      </c>
      <c r="B16" s="87" t="s">
        <v>58</v>
      </c>
      <c r="C16" s="17"/>
      <c r="D16" s="18"/>
      <c r="E16" s="19"/>
      <c r="F16" s="20"/>
      <c r="G16" s="20"/>
      <c r="H16" s="20"/>
      <c r="I16" s="20"/>
      <c r="J16" s="20"/>
      <c r="K16" s="20"/>
      <c r="L16" s="20"/>
      <c r="M16" s="20"/>
      <c r="N16" s="20"/>
      <c r="O16" s="19"/>
      <c r="P16" s="19"/>
      <c r="Q16" s="20"/>
      <c r="R16" s="20"/>
      <c r="S16" s="20"/>
      <c r="T16" s="19"/>
      <c r="U16" s="21"/>
      <c r="V16" s="20"/>
    </row>
    <row r="17" spans="1:22" s="15" customFormat="1" ht="15" customHeight="1">
      <c r="A17" s="22">
        <v>3</v>
      </c>
      <c r="B17" s="23" t="s">
        <v>32</v>
      </c>
      <c r="C17" s="17">
        <v>6</v>
      </c>
      <c r="D17" s="18"/>
      <c r="E17" s="19">
        <v>1899</v>
      </c>
      <c r="F17" s="20">
        <v>96</v>
      </c>
      <c r="G17" s="20"/>
      <c r="H17" s="20"/>
      <c r="I17" s="20"/>
      <c r="J17" s="20"/>
      <c r="K17" s="20"/>
      <c r="L17" s="20"/>
      <c r="M17" s="20"/>
      <c r="N17" s="20"/>
      <c r="O17" s="19">
        <f t="shared" si="10"/>
        <v>1995</v>
      </c>
      <c r="P17" s="19">
        <f t="shared" si="11"/>
        <v>1995</v>
      </c>
      <c r="Q17" s="20">
        <f t="shared" si="12"/>
        <v>179.54999999999998</v>
      </c>
      <c r="R17" s="20"/>
      <c r="S17" s="20">
        <f t="shared" si="13"/>
        <v>179.54999999999998</v>
      </c>
      <c r="T17" s="19">
        <f t="shared" si="14"/>
        <v>2174.5500000000002</v>
      </c>
      <c r="U17" s="21" t="s">
        <v>19</v>
      </c>
      <c r="V17" s="20">
        <f>199.5+26.53+9.38</f>
        <v>235.41</v>
      </c>
    </row>
    <row r="18" spans="1:22" s="15" customFormat="1" ht="15" customHeight="1" thickBot="1">
      <c r="A18" s="53">
        <v>1</v>
      </c>
      <c r="B18" s="54" t="s">
        <v>20</v>
      </c>
      <c r="C18" s="55">
        <v>57</v>
      </c>
      <c r="D18" s="56">
        <v>5</v>
      </c>
      <c r="E18" s="57">
        <v>2121</v>
      </c>
      <c r="F18" s="58">
        <v>96</v>
      </c>
      <c r="G18" s="58"/>
      <c r="H18" s="58"/>
      <c r="I18" s="58"/>
      <c r="J18" s="58"/>
      <c r="K18" s="58"/>
      <c r="L18" s="58"/>
      <c r="M18" s="58"/>
      <c r="N18" s="58"/>
      <c r="O18" s="19">
        <f t="shared" si="10"/>
        <v>2217</v>
      </c>
      <c r="P18" s="19">
        <f t="shared" si="11"/>
        <v>2217</v>
      </c>
      <c r="Q18" s="20">
        <f t="shared" si="12"/>
        <v>199.53</v>
      </c>
      <c r="R18" s="20"/>
      <c r="S18" s="20">
        <f t="shared" si="13"/>
        <v>199.53</v>
      </c>
      <c r="T18" s="19">
        <f t="shared" si="14"/>
        <v>2416.5300000000002</v>
      </c>
      <c r="U18" s="21" t="s">
        <v>19</v>
      </c>
      <c r="V18" s="20">
        <f>221.7+29.49+10.42</f>
        <v>261.61</v>
      </c>
    </row>
    <row r="19" spans="1:22" s="15" customFormat="1" ht="15" customHeight="1">
      <c r="A19" s="47">
        <v>1</v>
      </c>
      <c r="B19" s="48" t="s">
        <v>47</v>
      </c>
      <c r="C19" s="49">
        <v>15</v>
      </c>
      <c r="D19" s="50">
        <v>5</v>
      </c>
      <c r="E19" s="51">
        <v>1848</v>
      </c>
      <c r="F19" s="52">
        <f>84+184.8</f>
        <v>268.8</v>
      </c>
      <c r="G19" s="52"/>
      <c r="H19" s="52"/>
      <c r="I19" s="52"/>
      <c r="J19" s="52"/>
      <c r="K19" s="52"/>
      <c r="L19" s="52"/>
      <c r="M19" s="52">
        <v>80.5</v>
      </c>
      <c r="N19" s="52"/>
      <c r="O19" s="19">
        <f t="shared" si="10"/>
        <v>2197.3000000000002</v>
      </c>
      <c r="P19" s="19">
        <f t="shared" si="11"/>
        <v>2116.8000000000002</v>
      </c>
      <c r="Q19" s="20">
        <f t="shared" si="12"/>
        <v>190.512</v>
      </c>
      <c r="R19" s="20"/>
      <c r="S19" s="20">
        <f t="shared" si="13"/>
        <v>190.512</v>
      </c>
      <c r="T19" s="19">
        <f t="shared" si="14"/>
        <v>2307.3120000000004</v>
      </c>
      <c r="U19" s="21" t="s">
        <v>19</v>
      </c>
      <c r="V19" s="20">
        <f>211.68+28.15+9.95</f>
        <v>249.78</v>
      </c>
    </row>
    <row r="20" spans="1:22" s="15" customFormat="1" ht="15" customHeight="1">
      <c r="A20" s="22">
        <v>2</v>
      </c>
      <c r="B20" s="23" t="s">
        <v>27</v>
      </c>
      <c r="C20" s="17">
        <v>29</v>
      </c>
      <c r="D20" s="18"/>
      <c r="E20" s="19">
        <v>1899</v>
      </c>
      <c r="F20" s="20">
        <v>75</v>
      </c>
      <c r="G20" s="20"/>
      <c r="H20" s="20"/>
      <c r="I20" s="20"/>
      <c r="J20" s="20"/>
      <c r="K20" s="20"/>
      <c r="L20" s="20"/>
      <c r="M20" s="20"/>
      <c r="N20" s="20"/>
      <c r="O20" s="19">
        <f t="shared" si="10"/>
        <v>1974</v>
      </c>
      <c r="P20" s="19">
        <f t="shared" si="11"/>
        <v>1974</v>
      </c>
      <c r="Q20" s="20">
        <f t="shared" si="12"/>
        <v>177.66</v>
      </c>
      <c r="R20" s="20"/>
      <c r="S20" s="20">
        <f t="shared" si="13"/>
        <v>177.66</v>
      </c>
      <c r="T20" s="19">
        <f t="shared" si="14"/>
        <v>2151.66</v>
      </c>
      <c r="U20" s="21" t="s">
        <v>18</v>
      </c>
      <c r="V20" s="20">
        <f>+P20*12.88%</f>
        <v>254.25119999999998</v>
      </c>
    </row>
    <row r="21" spans="1:22" s="15" customFormat="1" ht="15" customHeight="1">
      <c r="A21" s="22">
        <v>1</v>
      </c>
      <c r="B21" s="23" t="s">
        <v>21</v>
      </c>
      <c r="C21" s="17">
        <v>16</v>
      </c>
      <c r="D21" s="18">
        <v>5</v>
      </c>
      <c r="E21" s="19">
        <v>1666</v>
      </c>
      <c r="F21" s="20">
        <f>75+84+174.1</f>
        <v>333.1</v>
      </c>
      <c r="G21" s="20"/>
      <c r="H21" s="20"/>
      <c r="I21" s="20"/>
      <c r="J21" s="20"/>
      <c r="K21" s="20"/>
      <c r="L21" s="20"/>
      <c r="M21" s="20">
        <v>80.5</v>
      </c>
      <c r="N21" s="20"/>
      <c r="O21" s="19">
        <f t="shared" si="10"/>
        <v>2079.6</v>
      </c>
      <c r="P21" s="19">
        <f t="shared" si="11"/>
        <v>1999.1</v>
      </c>
      <c r="Q21" s="20">
        <f t="shared" si="12"/>
        <v>179.91899999999998</v>
      </c>
      <c r="R21" s="20"/>
      <c r="S21" s="20">
        <f t="shared" si="13"/>
        <v>179.91899999999998</v>
      </c>
      <c r="T21" s="19">
        <f t="shared" si="14"/>
        <v>2179.0189999999998</v>
      </c>
      <c r="U21" s="21" t="s">
        <v>2</v>
      </c>
      <c r="V21" s="20">
        <f>+P21*12.93%</f>
        <v>258.48363000000001</v>
      </c>
    </row>
    <row r="22" spans="1:22" s="15" customFormat="1" ht="15" customHeight="1">
      <c r="A22" s="22">
        <v>2</v>
      </c>
      <c r="B22" s="23" t="s">
        <v>44</v>
      </c>
      <c r="C22" s="17">
        <v>7</v>
      </c>
      <c r="D22" s="18">
        <v>5</v>
      </c>
      <c r="E22" s="19">
        <v>1666</v>
      </c>
      <c r="F22" s="20">
        <f>75+84+174.1</f>
        <v>333.1</v>
      </c>
      <c r="G22" s="20"/>
      <c r="H22" s="20"/>
      <c r="I22" s="20"/>
      <c r="J22" s="20"/>
      <c r="K22" s="20"/>
      <c r="L22" s="20"/>
      <c r="M22" s="20">
        <v>80.5</v>
      </c>
      <c r="N22" s="20"/>
      <c r="O22" s="19">
        <f t="shared" si="10"/>
        <v>2079.6</v>
      </c>
      <c r="P22" s="19">
        <f t="shared" si="11"/>
        <v>1999.1</v>
      </c>
      <c r="Q22" s="20">
        <f t="shared" si="12"/>
        <v>179.91899999999998</v>
      </c>
      <c r="R22" s="20"/>
      <c r="S22" s="20">
        <f t="shared" si="13"/>
        <v>179.91899999999998</v>
      </c>
      <c r="T22" s="19">
        <f t="shared" si="14"/>
        <v>2179.0189999999998</v>
      </c>
      <c r="U22" s="21" t="s">
        <v>1</v>
      </c>
      <c r="V22" s="20">
        <f>+P22*13%</f>
        <v>259.88299999999998</v>
      </c>
    </row>
    <row r="23" spans="1:22" s="15" customFormat="1" ht="15" customHeight="1">
      <c r="A23" s="22">
        <v>3</v>
      </c>
      <c r="B23" s="23" t="s">
        <v>11</v>
      </c>
      <c r="C23" s="17">
        <v>27</v>
      </c>
      <c r="D23" s="18">
        <v>5</v>
      </c>
      <c r="E23" s="19">
        <v>1899</v>
      </c>
      <c r="F23" s="20">
        <f>75+96+50</f>
        <v>221</v>
      </c>
      <c r="G23" s="20"/>
      <c r="H23" s="20"/>
      <c r="I23" s="20"/>
      <c r="J23" s="20"/>
      <c r="K23" s="20"/>
      <c r="L23" s="20"/>
      <c r="M23" s="20"/>
      <c r="N23" s="20"/>
      <c r="O23" s="19">
        <f t="shared" si="10"/>
        <v>2120</v>
      </c>
      <c r="P23" s="19">
        <f t="shared" si="11"/>
        <v>2120</v>
      </c>
      <c r="Q23" s="20">
        <f t="shared" si="12"/>
        <v>190.79999999999998</v>
      </c>
      <c r="R23" s="20"/>
      <c r="S23" s="20">
        <f t="shared" si="13"/>
        <v>190.79999999999998</v>
      </c>
      <c r="T23" s="19">
        <f t="shared" si="14"/>
        <v>2310.8000000000002</v>
      </c>
      <c r="U23" s="21" t="s">
        <v>18</v>
      </c>
      <c r="V23" s="20">
        <f>212+28.2+30.74</f>
        <v>270.94</v>
      </c>
    </row>
    <row r="24" spans="1:22" s="15" customFormat="1" ht="15" customHeight="1">
      <c r="A24" s="22">
        <v>3</v>
      </c>
      <c r="B24" s="23" t="s">
        <v>45</v>
      </c>
      <c r="C24" s="17"/>
      <c r="D24" s="18">
        <v>5</v>
      </c>
      <c r="E24" s="19">
        <v>1125</v>
      </c>
      <c r="F24" s="20">
        <f>75+96+580</f>
        <v>751</v>
      </c>
      <c r="G24" s="20">
        <v>150</v>
      </c>
      <c r="H24" s="20"/>
      <c r="I24" s="20"/>
      <c r="J24" s="20"/>
      <c r="K24" s="20"/>
      <c r="L24" s="20"/>
      <c r="M24" s="20"/>
      <c r="N24" s="20">
        <v>541</v>
      </c>
      <c r="O24" s="19">
        <f t="shared" si="10"/>
        <v>2567</v>
      </c>
      <c r="P24" s="19">
        <f t="shared" si="11"/>
        <v>2567</v>
      </c>
      <c r="Q24" s="20">
        <f t="shared" si="12"/>
        <v>231.03</v>
      </c>
      <c r="R24" s="20"/>
      <c r="S24" s="20">
        <f t="shared" si="13"/>
        <v>231.03</v>
      </c>
      <c r="T24" s="19">
        <f t="shared" si="14"/>
        <v>2798.03</v>
      </c>
      <c r="U24" s="21" t="s">
        <v>18</v>
      </c>
      <c r="V24" s="20">
        <f>+P24*12.88%</f>
        <v>330.62959999999998</v>
      </c>
    </row>
    <row r="25" spans="1:22" s="15" customFormat="1" ht="15" customHeight="1">
      <c r="A25" s="22">
        <v>4</v>
      </c>
      <c r="B25" s="23" t="s">
        <v>46</v>
      </c>
      <c r="C25" s="17">
        <v>48</v>
      </c>
      <c r="D25" s="18">
        <v>5</v>
      </c>
      <c r="E25" s="19">
        <v>1848</v>
      </c>
      <c r="F25" s="20">
        <f>75+84+520</f>
        <v>679</v>
      </c>
      <c r="G25" s="20">
        <v>150</v>
      </c>
      <c r="H25" s="20"/>
      <c r="I25" s="20"/>
      <c r="J25" s="20"/>
      <c r="K25" s="20"/>
      <c r="L25" s="20"/>
      <c r="M25" s="20">
        <v>57.5</v>
      </c>
      <c r="N25" s="20"/>
      <c r="O25" s="19">
        <f t="shared" si="10"/>
        <v>2734.5</v>
      </c>
      <c r="P25" s="19">
        <f t="shared" si="11"/>
        <v>2677</v>
      </c>
      <c r="Q25" s="20">
        <f t="shared" si="12"/>
        <v>240.92999999999998</v>
      </c>
      <c r="R25" s="20"/>
      <c r="S25" s="20">
        <f t="shared" si="13"/>
        <v>240.92999999999998</v>
      </c>
      <c r="T25" s="19">
        <f t="shared" si="14"/>
        <v>2917.93</v>
      </c>
      <c r="U25" s="21" t="s">
        <v>18</v>
      </c>
      <c r="V25" s="20">
        <f>+P25*12.88%</f>
        <v>344.79759999999999</v>
      </c>
    </row>
    <row r="26" spans="1:22" s="15" customFormat="1" ht="15" customHeight="1">
      <c r="A26" s="22">
        <v>5</v>
      </c>
      <c r="B26" s="23" t="s">
        <v>41</v>
      </c>
      <c r="C26" s="17">
        <v>18</v>
      </c>
      <c r="D26" s="18">
        <v>5</v>
      </c>
      <c r="E26" s="19">
        <v>1848</v>
      </c>
      <c r="F26" s="20">
        <f>84+184.8</f>
        <v>268.8</v>
      </c>
      <c r="G26" s="20"/>
      <c r="H26" s="20"/>
      <c r="I26" s="20"/>
      <c r="J26" s="20"/>
      <c r="K26" s="20"/>
      <c r="L26" s="20"/>
      <c r="M26" s="20">
        <v>80.5</v>
      </c>
      <c r="N26" s="20"/>
      <c r="O26" s="19">
        <f t="shared" si="10"/>
        <v>2197.3000000000002</v>
      </c>
      <c r="P26" s="19">
        <f t="shared" si="11"/>
        <v>2116.8000000000002</v>
      </c>
      <c r="Q26" s="20">
        <f t="shared" si="12"/>
        <v>190.512</v>
      </c>
      <c r="R26" s="20"/>
      <c r="S26" s="20">
        <f t="shared" si="13"/>
        <v>190.512</v>
      </c>
      <c r="T26" s="19">
        <f t="shared" si="14"/>
        <v>2307.3120000000004</v>
      </c>
      <c r="U26" s="21" t="s">
        <v>0</v>
      </c>
      <c r="V26" s="20">
        <f>+P26*13.02%</f>
        <v>275.60735999999997</v>
      </c>
    </row>
    <row r="27" spans="1:22" s="15" customFormat="1" ht="15" customHeight="1">
      <c r="A27" s="22">
        <v>5</v>
      </c>
      <c r="B27" s="23" t="s">
        <v>13</v>
      </c>
      <c r="C27" s="17">
        <v>3</v>
      </c>
      <c r="D27" s="18">
        <v>5</v>
      </c>
      <c r="E27" s="19">
        <v>1666</v>
      </c>
      <c r="F27" s="20">
        <f>75+88</f>
        <v>163</v>
      </c>
      <c r="G27" s="20"/>
      <c r="H27" s="20"/>
      <c r="I27" s="20"/>
      <c r="J27" s="20"/>
      <c r="K27" s="20"/>
      <c r="L27" s="20"/>
      <c r="M27" s="20"/>
      <c r="N27" s="20"/>
      <c r="O27" s="19">
        <f t="shared" si="10"/>
        <v>1829</v>
      </c>
      <c r="P27" s="19">
        <f t="shared" si="11"/>
        <v>1829</v>
      </c>
      <c r="Q27" s="20">
        <f t="shared" si="12"/>
        <v>164.60999999999999</v>
      </c>
      <c r="R27" s="20"/>
      <c r="S27" s="20">
        <f t="shared" si="13"/>
        <v>164.60999999999999</v>
      </c>
      <c r="T27" s="19">
        <f t="shared" si="14"/>
        <v>1993.61</v>
      </c>
      <c r="U27" s="21" t="s">
        <v>0</v>
      </c>
      <c r="V27" s="20">
        <f>+P27*13.02%</f>
        <v>238.13579999999996</v>
      </c>
    </row>
    <row r="28" spans="1:22" s="15" customFormat="1" ht="15" customHeight="1">
      <c r="A28" s="22">
        <v>4</v>
      </c>
      <c r="B28" s="23" t="s">
        <v>40</v>
      </c>
      <c r="C28" s="17">
        <v>24</v>
      </c>
      <c r="D28" s="18">
        <v>5</v>
      </c>
      <c r="E28" s="19">
        <v>1848</v>
      </c>
      <c r="F28" s="20">
        <f>75+96</f>
        <v>171</v>
      </c>
      <c r="G28" s="20"/>
      <c r="H28" s="20"/>
      <c r="I28" s="20"/>
      <c r="J28" s="20"/>
      <c r="K28" s="20"/>
      <c r="L28" s="20"/>
      <c r="M28" s="20"/>
      <c r="N28" s="20"/>
      <c r="O28" s="19">
        <f t="shared" si="10"/>
        <v>2019</v>
      </c>
      <c r="P28" s="19">
        <f t="shared" si="11"/>
        <v>2019</v>
      </c>
      <c r="Q28" s="20">
        <f t="shared" si="12"/>
        <v>181.70999999999998</v>
      </c>
      <c r="R28" s="20"/>
      <c r="S28" s="20">
        <f t="shared" si="13"/>
        <v>181.70999999999998</v>
      </c>
      <c r="T28" s="19">
        <f t="shared" si="14"/>
        <v>2200.71</v>
      </c>
      <c r="U28" s="21" t="s">
        <v>0</v>
      </c>
      <c r="V28" s="20">
        <f>+P28*13.02%</f>
        <v>262.87379999999996</v>
      </c>
    </row>
    <row r="29" spans="1:22" s="15" customFormat="1" ht="14.25">
      <c r="A29" s="22">
        <v>7</v>
      </c>
      <c r="B29" s="23" t="s">
        <v>30</v>
      </c>
      <c r="C29" s="17">
        <v>18</v>
      </c>
      <c r="D29" s="18">
        <v>5</v>
      </c>
      <c r="E29" s="19">
        <v>1848</v>
      </c>
      <c r="F29" s="20">
        <f>84+184.8</f>
        <v>268.8</v>
      </c>
      <c r="G29" s="20"/>
      <c r="H29" s="20"/>
      <c r="I29" s="20"/>
      <c r="J29" s="20"/>
      <c r="K29" s="20"/>
      <c r="L29" s="20"/>
      <c r="M29" s="20">
        <v>80.5</v>
      </c>
      <c r="N29" s="20"/>
      <c r="O29" s="19">
        <f t="shared" si="10"/>
        <v>2197.3000000000002</v>
      </c>
      <c r="P29" s="19">
        <f t="shared" si="11"/>
        <v>2116.8000000000002</v>
      </c>
      <c r="Q29" s="20">
        <f t="shared" si="12"/>
        <v>190.512</v>
      </c>
      <c r="R29" s="20"/>
      <c r="S29" s="20">
        <f t="shared" si="13"/>
        <v>190.512</v>
      </c>
      <c r="T29" s="19">
        <f t="shared" si="14"/>
        <v>2307.3120000000004</v>
      </c>
      <c r="U29" s="21" t="s">
        <v>18</v>
      </c>
      <c r="V29" s="20">
        <f>+P29*12.88%</f>
        <v>272.64384000000001</v>
      </c>
    </row>
    <row r="30" spans="1:22" s="15" customFormat="1" ht="14.25">
      <c r="A30" s="22">
        <v>6</v>
      </c>
      <c r="B30" s="23" t="s">
        <v>14</v>
      </c>
      <c r="C30" s="17">
        <v>36</v>
      </c>
      <c r="D30" s="18">
        <v>5</v>
      </c>
      <c r="E30" s="19">
        <v>1951</v>
      </c>
      <c r="F30" s="20">
        <f>75+84+202.6</f>
        <v>361.6</v>
      </c>
      <c r="G30" s="20"/>
      <c r="H30" s="20"/>
      <c r="I30" s="20"/>
      <c r="J30" s="20"/>
      <c r="K30" s="20"/>
      <c r="L30" s="20"/>
      <c r="M30" s="20">
        <v>80.5</v>
      </c>
      <c r="N30" s="20"/>
      <c r="O30" s="19">
        <f t="shared" si="10"/>
        <v>2393.1</v>
      </c>
      <c r="P30" s="19">
        <f t="shared" si="11"/>
        <v>2312.6</v>
      </c>
      <c r="Q30" s="20">
        <f t="shared" si="12"/>
        <v>208.13399999999999</v>
      </c>
      <c r="R30" s="20"/>
      <c r="S30" s="20">
        <f t="shared" si="13"/>
        <v>208.13399999999999</v>
      </c>
      <c r="T30" s="19">
        <f t="shared" si="14"/>
        <v>2520.7339999999999</v>
      </c>
      <c r="U30" s="21" t="s">
        <v>0</v>
      </c>
      <c r="V30" s="20">
        <f>+P30*13.02%</f>
        <v>301.10051999999996</v>
      </c>
    </row>
    <row r="31" spans="1:22" s="15" customFormat="1" ht="14.25">
      <c r="A31" s="22">
        <v>8</v>
      </c>
      <c r="B31" s="23" t="s">
        <v>42</v>
      </c>
      <c r="C31" s="17">
        <v>16</v>
      </c>
      <c r="D31" s="18">
        <v>5</v>
      </c>
      <c r="E31" s="19">
        <v>1848</v>
      </c>
      <c r="F31" s="20">
        <v>96</v>
      </c>
      <c r="G31" s="20"/>
      <c r="H31" s="20"/>
      <c r="I31" s="20"/>
      <c r="J31" s="20"/>
      <c r="K31" s="20"/>
      <c r="L31" s="20"/>
      <c r="M31" s="20"/>
      <c r="N31" s="20"/>
      <c r="O31" s="19">
        <f t="shared" si="10"/>
        <v>1944</v>
      </c>
      <c r="P31" s="19">
        <f t="shared" si="11"/>
        <v>1944</v>
      </c>
      <c r="Q31" s="20">
        <f t="shared" si="12"/>
        <v>174.95999999999998</v>
      </c>
      <c r="R31" s="20"/>
      <c r="S31" s="20">
        <f t="shared" si="13"/>
        <v>174.95999999999998</v>
      </c>
      <c r="T31" s="19">
        <f t="shared" si="14"/>
        <v>2118.96</v>
      </c>
      <c r="U31" s="21" t="s">
        <v>0</v>
      </c>
      <c r="V31" s="20">
        <f>194.4+25.86+28.97</f>
        <v>249.23</v>
      </c>
    </row>
    <row r="32" spans="1:22" s="15" customFormat="1" ht="14.25">
      <c r="A32" s="22">
        <v>6</v>
      </c>
      <c r="B32" s="23" t="s">
        <v>15</v>
      </c>
      <c r="C32" s="17">
        <v>7</v>
      </c>
      <c r="D32" s="18">
        <v>5</v>
      </c>
      <c r="E32" s="19">
        <v>1666</v>
      </c>
      <c r="F32" s="20">
        <f>75+84+174.1</f>
        <v>333.1</v>
      </c>
      <c r="G32" s="20"/>
      <c r="H32" s="20"/>
      <c r="I32" s="20"/>
      <c r="J32" s="20"/>
      <c r="K32" s="20"/>
      <c r="L32" s="20"/>
      <c r="M32" s="20">
        <v>80.5</v>
      </c>
      <c r="N32" s="20"/>
      <c r="O32" s="19">
        <f t="shared" si="10"/>
        <v>2079.6</v>
      </c>
      <c r="P32" s="19">
        <f t="shared" si="11"/>
        <v>1999.1</v>
      </c>
      <c r="Q32" s="20">
        <f t="shared" si="12"/>
        <v>179.91899999999998</v>
      </c>
      <c r="R32" s="20"/>
      <c r="S32" s="20">
        <f t="shared" si="13"/>
        <v>179.91899999999998</v>
      </c>
      <c r="T32" s="19">
        <f t="shared" si="14"/>
        <v>2179.0189999999998</v>
      </c>
      <c r="U32" s="21" t="s">
        <v>18</v>
      </c>
      <c r="V32" s="20">
        <f>199.91+26.59+28.99</f>
        <v>255.49</v>
      </c>
    </row>
    <row r="33" spans="1:22" s="15" customFormat="1" ht="14.25">
      <c r="A33" s="22">
        <v>9</v>
      </c>
      <c r="B33" s="23" t="s">
        <v>43</v>
      </c>
      <c r="C33" s="17">
        <v>26</v>
      </c>
      <c r="D33" s="18">
        <v>5</v>
      </c>
      <c r="E33" s="19">
        <v>1848</v>
      </c>
      <c r="F33" s="20">
        <f>75+84+192.3</f>
        <v>351.3</v>
      </c>
      <c r="G33" s="20"/>
      <c r="H33" s="20"/>
      <c r="I33" s="20"/>
      <c r="J33" s="20"/>
      <c r="K33" s="20"/>
      <c r="L33" s="20"/>
      <c r="M33" s="20">
        <v>80.5</v>
      </c>
      <c r="N33" s="20"/>
      <c r="O33" s="19">
        <f t="shared" si="10"/>
        <v>2279.8000000000002</v>
      </c>
      <c r="P33" s="19">
        <f t="shared" si="11"/>
        <v>2199.3000000000002</v>
      </c>
      <c r="Q33" s="20">
        <f t="shared" si="12"/>
        <v>197.93700000000001</v>
      </c>
      <c r="R33" s="20"/>
      <c r="S33" s="20">
        <f t="shared" si="13"/>
        <v>197.93700000000001</v>
      </c>
      <c r="T33" s="19">
        <f t="shared" si="14"/>
        <v>2397.2370000000001</v>
      </c>
      <c r="U33" s="21" t="s">
        <v>1</v>
      </c>
      <c r="V33" s="20">
        <f>+P33*13%</f>
        <v>285.90900000000005</v>
      </c>
    </row>
    <row r="34" spans="1:22" s="15" customFormat="1" ht="14.25">
      <c r="A34" s="22">
        <v>10</v>
      </c>
      <c r="B34" s="23" t="s">
        <v>23</v>
      </c>
      <c r="C34" s="17">
        <v>27</v>
      </c>
      <c r="D34" s="18">
        <v>5</v>
      </c>
      <c r="E34" s="19">
        <v>1899</v>
      </c>
      <c r="F34" s="20">
        <f>75+92+50</f>
        <v>217</v>
      </c>
      <c r="G34" s="20"/>
      <c r="H34" s="20"/>
      <c r="I34" s="20"/>
      <c r="J34" s="20"/>
      <c r="K34" s="20"/>
      <c r="L34" s="20"/>
      <c r="M34" s="20"/>
      <c r="N34" s="20"/>
      <c r="O34" s="19">
        <f t="shared" si="10"/>
        <v>2116</v>
      </c>
      <c r="P34" s="19">
        <f t="shared" si="11"/>
        <v>2116</v>
      </c>
      <c r="Q34" s="20">
        <f t="shared" si="12"/>
        <v>190.44</v>
      </c>
      <c r="R34" s="20"/>
      <c r="S34" s="20">
        <f t="shared" si="13"/>
        <v>190.44</v>
      </c>
      <c r="T34" s="19">
        <f t="shared" si="14"/>
        <v>2306.44</v>
      </c>
      <c r="U34" s="21" t="s">
        <v>18</v>
      </c>
      <c r="V34" s="20">
        <f>+P34*12.88%</f>
        <v>272.54079999999999</v>
      </c>
    </row>
    <row r="35" spans="1:22" s="9" customFormat="1"/>
    <row r="36" spans="1:22" s="9" customFormat="1"/>
    <row r="37" spans="1:22" s="9" customFormat="1"/>
    <row r="38" spans="1:22" s="9" customFormat="1"/>
    <row r="39" spans="1:22" s="9" customFormat="1"/>
    <row r="40" spans="1:22" s="9" customFormat="1"/>
    <row r="41" spans="1:22" s="9" customFormat="1"/>
    <row r="42" spans="1:22" s="9" customFormat="1"/>
    <row r="43" spans="1:22" s="9" customFormat="1"/>
    <row r="44" spans="1:22" s="9" customFormat="1"/>
    <row r="45" spans="1:22" s="9" customFormat="1"/>
    <row r="46" spans="1:22" s="9" customFormat="1"/>
    <row r="47" spans="1:22" s="9" customFormat="1"/>
    <row r="48" spans="1:22" s="9" customFormat="1"/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/>
    <row r="58" s="9" customFormat="1"/>
    <row r="59" s="9" customFormat="1"/>
    <row r="60" s="9" customFormat="1"/>
    <row r="61" s="9" customFormat="1"/>
    <row r="62" s="9" customFormat="1"/>
    <row r="63" s="9" customFormat="1"/>
    <row r="64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  <row r="81" s="9" customFormat="1"/>
    <row r="82" s="9" customFormat="1"/>
    <row r="83" s="9" customFormat="1"/>
    <row r="84" s="9" customFormat="1"/>
    <row r="85" s="9" customFormat="1"/>
    <row r="86" s="9" customFormat="1"/>
    <row r="87" s="9" customFormat="1"/>
    <row r="88" s="9" customFormat="1"/>
    <row r="89" s="9" customFormat="1"/>
    <row r="90" s="9" customFormat="1"/>
    <row r="91" s="9" customFormat="1"/>
    <row r="92" s="9" customFormat="1"/>
    <row r="93" s="9" customFormat="1"/>
    <row r="94" s="9" customFormat="1"/>
    <row r="95" s="9" customFormat="1"/>
    <row r="96" s="9" customFormat="1"/>
    <row r="97" s="9" customFormat="1"/>
    <row r="98" s="9" customFormat="1"/>
    <row r="99" s="9" customFormat="1"/>
    <row r="100" s="9" customFormat="1"/>
    <row r="101" s="9" customFormat="1"/>
    <row r="102" s="9" customFormat="1"/>
    <row r="103" s="9" customFormat="1"/>
    <row r="104" s="9" customFormat="1"/>
    <row r="105" s="9" customFormat="1"/>
    <row r="106" s="9" customFormat="1"/>
    <row r="107" s="9" customFormat="1"/>
    <row r="108" s="9" customFormat="1"/>
    <row r="109" s="9" customFormat="1"/>
    <row r="110" s="9" customFormat="1"/>
    <row r="111" s="9" customFormat="1"/>
    <row r="112" s="9" customFormat="1"/>
    <row r="113" s="9" customFormat="1"/>
    <row r="114" s="9" customFormat="1"/>
    <row r="115" s="9" customFormat="1"/>
    <row r="116" s="9" customFormat="1"/>
    <row r="117" s="9" customFormat="1"/>
    <row r="118" s="9" customFormat="1"/>
  </sheetData>
  <sortState ref="A16:V31">
    <sortCondition ref="B16"/>
  </sortState>
  <pageMargins left="0.23622047244094491" right="0.23622047244094491" top="0.39370078740157483" bottom="0.39370078740157483" header="0.31496062992125984" footer="0.27559055118110237"/>
  <pageSetup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34"/>
  <sheetViews>
    <sheetView workbookViewId="0">
      <selection activeCell="A2" sqref="A2:B2"/>
    </sheetView>
  </sheetViews>
  <sheetFormatPr baseColWidth="10" defaultRowHeight="15"/>
  <cols>
    <col min="1" max="1" width="4.5703125" customWidth="1"/>
    <col min="2" max="2" width="23.7109375" customWidth="1"/>
    <col min="3" max="3" width="3.7109375" customWidth="1"/>
    <col min="4" max="4" width="3.5703125" customWidth="1"/>
    <col min="5" max="5" width="9.28515625" customWidth="1"/>
    <col min="6" max="6" width="8.28515625" customWidth="1"/>
    <col min="7" max="7" width="8.140625" customWidth="1"/>
    <col min="8" max="8" width="5" customWidth="1"/>
    <col min="9" max="9" width="6.28515625" customWidth="1"/>
    <col min="10" max="10" width="5.28515625" customWidth="1"/>
    <col min="11" max="11" width="8.28515625" customWidth="1"/>
    <col min="12" max="12" width="5.42578125" customWidth="1"/>
    <col min="13" max="13" width="6.5703125" customWidth="1"/>
    <col min="14" max="14" width="8.140625" customWidth="1"/>
    <col min="15" max="15" width="9.28515625" customWidth="1"/>
    <col min="16" max="16" width="9.42578125" customWidth="1"/>
    <col min="17" max="17" width="8.28515625" customWidth="1"/>
    <col min="18" max="18" width="5.5703125" customWidth="1"/>
    <col min="19" max="19" width="8.5703125" customWidth="1"/>
    <col min="20" max="20" width="9.5703125" customWidth="1"/>
    <col min="21" max="21" width="7.7109375" customWidth="1"/>
    <col min="22" max="22" width="8.28515625" customWidth="1"/>
  </cols>
  <sheetData>
    <row r="1" spans="1:22" ht="15.75">
      <c r="A1" s="63">
        <v>1</v>
      </c>
      <c r="B1" s="64" t="s">
        <v>33</v>
      </c>
      <c r="C1" s="24">
        <v>181</v>
      </c>
      <c r="D1" s="25">
        <v>5</v>
      </c>
      <c r="E1" s="26">
        <v>2241</v>
      </c>
      <c r="F1" s="27"/>
      <c r="G1" s="27"/>
      <c r="H1" s="27"/>
      <c r="I1" s="27"/>
      <c r="J1" s="27"/>
      <c r="K1" s="27"/>
      <c r="L1" s="27"/>
      <c r="M1" s="27"/>
      <c r="N1" s="27">
        <v>1054</v>
      </c>
      <c r="O1" s="19">
        <f>SUM(E1:N1)</f>
        <v>3295</v>
      </c>
      <c r="P1" s="19">
        <f>O1-M1-J1</f>
        <v>3295</v>
      </c>
      <c r="Q1" s="20">
        <f>P1*9%</f>
        <v>296.55</v>
      </c>
      <c r="R1" s="20"/>
      <c r="S1" s="20">
        <f>Q1+R1</f>
        <v>296.55</v>
      </c>
      <c r="T1" s="19">
        <f>P1+S1</f>
        <v>3591.55</v>
      </c>
      <c r="U1" s="21" t="s">
        <v>0</v>
      </c>
      <c r="V1" s="20">
        <f>+P1*13.02%</f>
        <v>429.00899999999996</v>
      </c>
    </row>
    <row r="2" spans="1:22" ht="16.5" thickBot="1">
      <c r="A2" s="53">
        <v>1</v>
      </c>
      <c r="B2" s="54" t="s">
        <v>56</v>
      </c>
      <c r="C2" s="49"/>
      <c r="D2" s="50"/>
      <c r="E2" s="51"/>
      <c r="F2" s="52"/>
      <c r="G2" s="52"/>
      <c r="H2" s="52"/>
      <c r="I2" s="52"/>
      <c r="J2" s="52"/>
      <c r="K2" s="52"/>
      <c r="L2" s="52"/>
      <c r="M2" s="52"/>
      <c r="N2" s="52"/>
      <c r="O2" s="19"/>
      <c r="P2" s="19"/>
      <c r="Q2" s="20"/>
      <c r="R2" s="20"/>
      <c r="S2" s="20"/>
      <c r="T2" s="19"/>
      <c r="U2" s="21"/>
      <c r="V2" s="20"/>
    </row>
    <row r="3" spans="1:22" ht="15.75">
      <c r="A3" s="75">
        <v>1</v>
      </c>
      <c r="B3" s="76" t="s">
        <v>3</v>
      </c>
      <c r="C3" s="77">
        <v>85</v>
      </c>
      <c r="D3" s="78">
        <v>5</v>
      </c>
      <c r="E3" s="79">
        <v>2241</v>
      </c>
      <c r="F3" s="80">
        <v>75</v>
      </c>
      <c r="G3" s="80">
        <v>250</v>
      </c>
      <c r="H3" s="80"/>
      <c r="I3" s="80"/>
      <c r="J3" s="80"/>
      <c r="K3" s="80"/>
      <c r="L3" s="80"/>
      <c r="M3" s="80"/>
      <c r="N3" s="80"/>
      <c r="O3" s="19">
        <f>SUM(E3:N3)</f>
        <v>2566</v>
      </c>
      <c r="P3" s="19">
        <f>O3-M3-J3</f>
        <v>2566</v>
      </c>
      <c r="Q3" s="20">
        <f>P3*9%</f>
        <v>230.94</v>
      </c>
      <c r="R3" s="20"/>
      <c r="S3" s="20">
        <f>Q3+R3</f>
        <v>230.94</v>
      </c>
      <c r="T3" s="19">
        <f>P3+S3</f>
        <v>2796.94</v>
      </c>
      <c r="U3" s="21" t="s">
        <v>2</v>
      </c>
      <c r="V3" s="20">
        <f>+P3*12.93%</f>
        <v>331.78379999999999</v>
      </c>
    </row>
    <row r="4" spans="1:22" ht="16.5" thickBot="1">
      <c r="A4" s="73">
        <v>2</v>
      </c>
      <c r="B4" s="74" t="s">
        <v>56</v>
      </c>
      <c r="C4" s="59"/>
      <c r="D4" s="60"/>
      <c r="E4" s="61"/>
      <c r="F4" s="62"/>
      <c r="G4" s="62"/>
      <c r="H4" s="62"/>
      <c r="I4" s="62"/>
      <c r="J4" s="62"/>
      <c r="K4" s="62"/>
      <c r="L4" s="62"/>
      <c r="M4" s="62"/>
      <c r="N4" s="62"/>
      <c r="O4" s="19"/>
      <c r="P4" s="19"/>
      <c r="Q4" s="20"/>
      <c r="R4" s="20"/>
      <c r="S4" s="20"/>
      <c r="T4" s="19"/>
      <c r="U4" s="21"/>
      <c r="V4" s="20"/>
    </row>
    <row r="5" spans="1:22" ht="15.75">
      <c r="A5" s="47">
        <v>1</v>
      </c>
      <c r="B5" s="48" t="s">
        <v>4</v>
      </c>
      <c r="C5" s="49">
        <v>42</v>
      </c>
      <c r="D5" s="50">
        <v>5</v>
      </c>
      <c r="E5" s="51">
        <v>1789</v>
      </c>
      <c r="F5" s="52">
        <v>75</v>
      </c>
      <c r="G5" s="52">
        <v>150</v>
      </c>
      <c r="H5" s="52"/>
      <c r="I5" s="52"/>
      <c r="J5" s="52"/>
      <c r="K5" s="52"/>
      <c r="L5" s="52"/>
      <c r="M5" s="52"/>
      <c r="N5" s="52">
        <v>110</v>
      </c>
      <c r="O5" s="19">
        <f>SUM(E5:N5)</f>
        <v>2124</v>
      </c>
      <c r="P5" s="19">
        <f>O5-M5-J5</f>
        <v>2124</v>
      </c>
      <c r="Q5" s="20">
        <f>P5*9%</f>
        <v>191.16</v>
      </c>
      <c r="R5" s="20"/>
      <c r="S5" s="20">
        <f>Q5+R5</f>
        <v>191.16</v>
      </c>
      <c r="T5" s="19">
        <f>P5+S5</f>
        <v>2315.16</v>
      </c>
      <c r="U5" s="21" t="s">
        <v>0</v>
      </c>
      <c r="V5" s="20">
        <f>+P5*13.02%</f>
        <v>276.54479999999995</v>
      </c>
    </row>
    <row r="6" spans="1:22" ht="16.5" thickBot="1">
      <c r="A6" s="37">
        <v>2</v>
      </c>
      <c r="B6" s="42" t="s">
        <v>24</v>
      </c>
      <c r="C6" s="59"/>
      <c r="D6" s="60"/>
      <c r="E6" s="61"/>
      <c r="F6" s="62"/>
      <c r="G6" s="62"/>
      <c r="H6" s="62"/>
      <c r="I6" s="62"/>
      <c r="J6" s="62"/>
      <c r="K6" s="62"/>
      <c r="L6" s="62"/>
      <c r="M6" s="62"/>
      <c r="N6" s="62"/>
      <c r="O6" s="19"/>
      <c r="P6" s="19"/>
      <c r="Q6" s="20"/>
      <c r="R6" s="20"/>
      <c r="S6" s="20"/>
      <c r="T6" s="19"/>
      <c r="U6" s="21"/>
      <c r="V6" s="20"/>
    </row>
    <row r="7" spans="1:22" ht="15.75">
      <c r="A7" s="47">
        <v>1</v>
      </c>
      <c r="B7" s="48" t="s">
        <v>5</v>
      </c>
      <c r="C7" s="49">
        <v>69</v>
      </c>
      <c r="D7" s="50">
        <v>5</v>
      </c>
      <c r="E7" s="51">
        <v>1899</v>
      </c>
      <c r="F7" s="52">
        <f>75+104+50+75</f>
        <v>304</v>
      </c>
      <c r="G7" s="52">
        <v>300</v>
      </c>
      <c r="H7" s="52"/>
      <c r="I7" s="52">
        <v>18.55</v>
      </c>
      <c r="J7" s="52"/>
      <c r="K7" s="52"/>
      <c r="L7" s="52"/>
      <c r="M7" s="52"/>
      <c r="N7" s="52"/>
      <c r="O7" s="19">
        <f>SUM(E7:N7)</f>
        <v>2521.5500000000002</v>
      </c>
      <c r="P7" s="19">
        <f>O7-M7-J7</f>
        <v>2521.5500000000002</v>
      </c>
      <c r="Q7" s="20">
        <f>P7*9%</f>
        <v>226.93950000000001</v>
      </c>
      <c r="R7" s="20"/>
      <c r="S7" s="20">
        <f>Q7+R7</f>
        <v>226.93950000000001</v>
      </c>
      <c r="T7" s="19">
        <f>P7+S7</f>
        <v>2748.4895000000001</v>
      </c>
      <c r="U7" s="21" t="s">
        <v>0</v>
      </c>
      <c r="V7" s="20">
        <f>+P7*13.02%</f>
        <v>328.30580999999995</v>
      </c>
    </row>
    <row r="8" spans="1:22" ht="15.75">
      <c r="A8" s="22">
        <v>2</v>
      </c>
      <c r="B8" s="23" t="s">
        <v>34</v>
      </c>
      <c r="C8" s="17">
        <v>57</v>
      </c>
      <c r="D8" s="18">
        <v>5</v>
      </c>
      <c r="E8" s="19">
        <v>1666</v>
      </c>
      <c r="F8" s="20">
        <f>75+174.1+75</f>
        <v>324.10000000000002</v>
      </c>
      <c r="G8" s="20">
        <v>250</v>
      </c>
      <c r="H8" s="20"/>
      <c r="I8" s="20"/>
      <c r="J8" s="20"/>
      <c r="K8" s="20"/>
      <c r="L8" s="20"/>
      <c r="M8" s="20">
        <v>80.5</v>
      </c>
      <c r="N8" s="20">
        <v>233</v>
      </c>
      <c r="O8" s="19">
        <f t="shared" ref="O8:O10" si="0">SUM(E8:N8)</f>
        <v>2553.6</v>
      </c>
      <c r="P8" s="19">
        <f t="shared" ref="P8:P10" si="1">O8-M8-J8</f>
        <v>2473.1</v>
      </c>
      <c r="Q8" s="20">
        <f t="shared" ref="Q8:Q10" si="2">P8*9%</f>
        <v>222.57899999999998</v>
      </c>
      <c r="R8" s="20"/>
      <c r="S8" s="20">
        <f t="shared" ref="S8:S10" si="3">Q8+R8</f>
        <v>222.57899999999998</v>
      </c>
      <c r="T8" s="19">
        <f t="shared" ref="T8:T10" si="4">P8+S8</f>
        <v>2695.6790000000001</v>
      </c>
      <c r="U8" s="21" t="s">
        <v>18</v>
      </c>
      <c r="V8" s="20">
        <f>+P8*12.88%</f>
        <v>318.53528</v>
      </c>
    </row>
    <row r="9" spans="1:22" ht="15.75">
      <c r="A9" s="22">
        <v>3</v>
      </c>
      <c r="B9" s="23" t="s">
        <v>7</v>
      </c>
      <c r="C9" s="17">
        <v>44</v>
      </c>
      <c r="D9" s="18">
        <v>5</v>
      </c>
      <c r="E9" s="19">
        <v>1727</v>
      </c>
      <c r="F9" s="20">
        <f>75+4+50+75</f>
        <v>204</v>
      </c>
      <c r="G9" s="20">
        <v>200</v>
      </c>
      <c r="H9" s="20"/>
      <c r="I9" s="20"/>
      <c r="J9" s="20"/>
      <c r="K9" s="20"/>
      <c r="L9" s="20"/>
      <c r="M9" s="20"/>
      <c r="N9" s="20">
        <v>121</v>
      </c>
      <c r="O9" s="19">
        <f t="shared" si="0"/>
        <v>2252</v>
      </c>
      <c r="P9" s="19">
        <f t="shared" si="1"/>
        <v>2252</v>
      </c>
      <c r="Q9" s="20">
        <f t="shared" si="2"/>
        <v>202.67999999999998</v>
      </c>
      <c r="R9" s="20"/>
      <c r="S9" s="20">
        <f t="shared" si="3"/>
        <v>202.67999999999998</v>
      </c>
      <c r="T9" s="19">
        <f t="shared" si="4"/>
        <v>2454.6799999999998</v>
      </c>
      <c r="U9" s="21" t="s">
        <v>2</v>
      </c>
      <c r="V9" s="20">
        <f>+P9*12.93%</f>
        <v>291.18360000000001</v>
      </c>
    </row>
    <row r="10" spans="1:22" ht="16.5" thickBot="1">
      <c r="A10" s="53">
        <v>4</v>
      </c>
      <c r="B10" s="54" t="s">
        <v>8</v>
      </c>
      <c r="C10" s="55">
        <v>43</v>
      </c>
      <c r="D10" s="56">
        <v>5</v>
      </c>
      <c r="E10" s="57">
        <v>1951</v>
      </c>
      <c r="F10" s="58">
        <f>75+104+75</f>
        <v>254</v>
      </c>
      <c r="G10" s="58">
        <v>600</v>
      </c>
      <c r="H10" s="58"/>
      <c r="I10" s="58"/>
      <c r="J10" s="58"/>
      <c r="K10" s="58"/>
      <c r="L10" s="58"/>
      <c r="M10" s="58"/>
      <c r="N10" s="58"/>
      <c r="O10" s="19">
        <f t="shared" si="0"/>
        <v>2805</v>
      </c>
      <c r="P10" s="19">
        <f t="shared" si="1"/>
        <v>2805</v>
      </c>
      <c r="Q10" s="20">
        <f t="shared" si="2"/>
        <v>252.45</v>
      </c>
      <c r="R10" s="20"/>
      <c r="S10" s="20">
        <f t="shared" si="3"/>
        <v>252.45</v>
      </c>
      <c r="T10" s="19">
        <f t="shared" si="4"/>
        <v>3057.45</v>
      </c>
      <c r="U10" s="21" t="s">
        <v>18</v>
      </c>
      <c r="V10" s="20">
        <f>+P10*12.88%</f>
        <v>361.28399999999999</v>
      </c>
    </row>
    <row r="11" spans="1:22" ht="15.75">
      <c r="A11" s="47">
        <v>1</v>
      </c>
      <c r="B11" s="48" t="s">
        <v>35</v>
      </c>
      <c r="C11" s="49">
        <v>18</v>
      </c>
      <c r="D11" s="50">
        <v>5</v>
      </c>
      <c r="E11" s="51">
        <v>905</v>
      </c>
      <c r="F11" s="52">
        <f>75+104+50</f>
        <v>229</v>
      </c>
      <c r="G11" s="52">
        <v>150</v>
      </c>
      <c r="H11" s="52"/>
      <c r="I11" s="52"/>
      <c r="J11" s="52"/>
      <c r="K11" s="52"/>
      <c r="L11" s="52"/>
      <c r="M11" s="52"/>
      <c r="N11" s="52">
        <v>761</v>
      </c>
      <c r="O11" s="19">
        <f>SUM(E11:N11)</f>
        <v>2045</v>
      </c>
      <c r="P11" s="19">
        <f>O11-M11-J11</f>
        <v>2045</v>
      </c>
      <c r="Q11" s="20">
        <f>P11*9%</f>
        <v>184.04999999999998</v>
      </c>
      <c r="R11" s="20"/>
      <c r="S11" s="20">
        <f>Q11+R11</f>
        <v>184.04999999999998</v>
      </c>
      <c r="T11" s="19">
        <f>P11+S11</f>
        <v>2229.0500000000002</v>
      </c>
      <c r="U11" s="21" t="s">
        <v>0</v>
      </c>
      <c r="V11" s="20">
        <f>+P11*13.02%</f>
        <v>266.25899999999996</v>
      </c>
    </row>
    <row r="12" spans="1:22" ht="15.75">
      <c r="A12" s="22">
        <v>2</v>
      </c>
      <c r="B12" s="23" t="s">
        <v>36</v>
      </c>
      <c r="C12" s="17"/>
      <c r="D12" s="18"/>
      <c r="E12" s="19">
        <v>880</v>
      </c>
      <c r="F12" s="20"/>
      <c r="G12" s="20"/>
      <c r="H12" s="20"/>
      <c r="I12" s="20"/>
      <c r="J12" s="20"/>
      <c r="K12" s="20">
        <v>1666</v>
      </c>
      <c r="L12" s="20"/>
      <c r="M12" s="20"/>
      <c r="N12" s="20">
        <v>786</v>
      </c>
      <c r="O12" s="19">
        <f t="shared" ref="O12:O13" si="5">SUM(E12:N12)</f>
        <v>3332</v>
      </c>
      <c r="P12" s="19">
        <f t="shared" ref="P12:P13" si="6">O12-M12-J12</f>
        <v>3332</v>
      </c>
      <c r="Q12" s="20">
        <f t="shared" ref="Q12:Q13" si="7">P12*9%</f>
        <v>299.88</v>
      </c>
      <c r="R12" s="20"/>
      <c r="S12" s="20">
        <f t="shared" ref="S12:S13" si="8">Q12+R12</f>
        <v>299.88</v>
      </c>
      <c r="T12" s="19">
        <f t="shared" ref="T12:T13" si="9">P12+S12</f>
        <v>3631.88</v>
      </c>
      <c r="U12" s="21" t="s">
        <v>2</v>
      </c>
      <c r="V12" s="20">
        <f>+P12*12.93%</f>
        <v>430.82760000000002</v>
      </c>
    </row>
    <row r="13" spans="1:22" ht="16.5" thickBot="1">
      <c r="A13" s="53">
        <v>3</v>
      </c>
      <c r="B13" s="54" t="s">
        <v>37</v>
      </c>
      <c r="C13" s="55"/>
      <c r="D13" s="56">
        <v>5</v>
      </c>
      <c r="E13" s="57">
        <v>905</v>
      </c>
      <c r="F13" s="58">
        <v>96</v>
      </c>
      <c r="G13" s="58"/>
      <c r="H13" s="58"/>
      <c r="I13" s="58"/>
      <c r="J13" s="58"/>
      <c r="K13" s="58"/>
      <c r="L13" s="58"/>
      <c r="M13" s="58"/>
      <c r="N13" s="58">
        <v>761</v>
      </c>
      <c r="O13" s="19">
        <f t="shared" si="5"/>
        <v>1762</v>
      </c>
      <c r="P13" s="19">
        <f t="shared" si="6"/>
        <v>1762</v>
      </c>
      <c r="Q13" s="20">
        <f t="shared" si="7"/>
        <v>158.57999999999998</v>
      </c>
      <c r="R13" s="20"/>
      <c r="S13" s="20">
        <f t="shared" si="8"/>
        <v>158.57999999999998</v>
      </c>
      <c r="T13" s="19">
        <f t="shared" si="9"/>
        <v>1920.58</v>
      </c>
      <c r="U13" s="21" t="s">
        <v>2</v>
      </c>
      <c r="V13" s="20">
        <f>+P13*12.93%</f>
        <v>227.82659999999998</v>
      </c>
    </row>
    <row r="14" spans="1:22" ht="15.75">
      <c r="A14" s="47">
        <v>1</v>
      </c>
      <c r="B14" s="48" t="s">
        <v>38</v>
      </c>
      <c r="C14" s="49">
        <v>6</v>
      </c>
      <c r="D14" s="50"/>
      <c r="E14" s="51">
        <v>1899</v>
      </c>
      <c r="F14" s="52">
        <v>104</v>
      </c>
      <c r="G14" s="52"/>
      <c r="H14" s="52"/>
      <c r="I14" s="52"/>
      <c r="J14" s="52"/>
      <c r="K14" s="52"/>
      <c r="L14" s="52"/>
      <c r="M14" s="52"/>
      <c r="N14" s="52"/>
      <c r="O14" s="19">
        <f t="shared" ref="O14:O34" si="10">SUM(E14:N14)</f>
        <v>2003</v>
      </c>
      <c r="P14" s="19">
        <f t="shared" ref="P14:P34" si="11">O14-M14-J14</f>
        <v>2003</v>
      </c>
      <c r="Q14" s="20">
        <f t="shared" ref="Q14:Q34" si="12">P14*9%</f>
        <v>180.26999999999998</v>
      </c>
      <c r="R14" s="20"/>
      <c r="S14" s="20">
        <f t="shared" ref="S14:S34" si="13">Q14+R14</f>
        <v>180.26999999999998</v>
      </c>
      <c r="T14" s="19">
        <f t="shared" ref="T14:T34" si="14">P14+S14</f>
        <v>2183.27</v>
      </c>
      <c r="U14" s="21" t="s">
        <v>19</v>
      </c>
      <c r="V14" s="20">
        <f>200.3+26.64+9.41</f>
        <v>236.35</v>
      </c>
    </row>
    <row r="15" spans="1:22" ht="15.75">
      <c r="A15" s="22">
        <v>2</v>
      </c>
      <c r="B15" s="23" t="s">
        <v>26</v>
      </c>
      <c r="C15" s="17">
        <v>29</v>
      </c>
      <c r="D15" s="18">
        <v>5</v>
      </c>
      <c r="E15" s="19">
        <v>2000</v>
      </c>
      <c r="F15" s="20">
        <v>56</v>
      </c>
      <c r="G15" s="20"/>
      <c r="H15" s="20"/>
      <c r="I15" s="20"/>
      <c r="J15" s="20"/>
      <c r="K15" s="20"/>
      <c r="L15" s="20"/>
      <c r="M15" s="20"/>
      <c r="N15" s="20"/>
      <c r="O15" s="19">
        <f t="shared" si="10"/>
        <v>2056</v>
      </c>
      <c r="P15" s="19">
        <f t="shared" si="11"/>
        <v>2056</v>
      </c>
      <c r="Q15" s="20">
        <f t="shared" si="12"/>
        <v>185.04</v>
      </c>
      <c r="R15" s="20"/>
      <c r="S15" s="20">
        <f t="shared" si="13"/>
        <v>185.04</v>
      </c>
      <c r="T15" s="19">
        <f t="shared" si="14"/>
        <v>2241.04</v>
      </c>
      <c r="U15" s="21" t="s">
        <v>0</v>
      </c>
      <c r="V15" s="20">
        <f>205.6+27.34+30.02</f>
        <v>262.95999999999998</v>
      </c>
    </row>
    <row r="16" spans="1:22" ht="15.75">
      <c r="A16" s="47">
        <v>1</v>
      </c>
      <c r="B16" s="87" t="s">
        <v>58</v>
      </c>
      <c r="C16" s="17"/>
      <c r="D16" s="18"/>
      <c r="E16" s="19"/>
      <c r="F16" s="20"/>
      <c r="G16" s="20"/>
      <c r="H16" s="20"/>
      <c r="I16" s="20"/>
      <c r="J16" s="20"/>
      <c r="K16" s="20"/>
      <c r="L16" s="20"/>
      <c r="M16" s="20"/>
      <c r="N16" s="20"/>
      <c r="O16" s="19"/>
      <c r="P16" s="19"/>
      <c r="Q16" s="20"/>
      <c r="R16" s="20"/>
      <c r="S16" s="20"/>
      <c r="T16" s="19"/>
      <c r="U16" s="21"/>
      <c r="V16" s="20"/>
    </row>
    <row r="17" spans="1:22" ht="15.75">
      <c r="A17" s="22">
        <v>3</v>
      </c>
      <c r="B17" s="23" t="s">
        <v>32</v>
      </c>
      <c r="C17" s="17">
        <v>6</v>
      </c>
      <c r="D17" s="18"/>
      <c r="E17" s="19">
        <v>1899</v>
      </c>
      <c r="F17" s="20">
        <v>104</v>
      </c>
      <c r="G17" s="20"/>
      <c r="H17" s="20"/>
      <c r="I17" s="20"/>
      <c r="J17" s="20"/>
      <c r="K17" s="20"/>
      <c r="L17" s="20"/>
      <c r="M17" s="20"/>
      <c r="N17" s="20"/>
      <c r="O17" s="19">
        <f t="shared" si="10"/>
        <v>2003</v>
      </c>
      <c r="P17" s="19">
        <f t="shared" si="11"/>
        <v>2003</v>
      </c>
      <c r="Q17" s="20">
        <f t="shared" si="12"/>
        <v>180.26999999999998</v>
      </c>
      <c r="R17" s="20"/>
      <c r="S17" s="20">
        <f t="shared" si="13"/>
        <v>180.26999999999998</v>
      </c>
      <c r="T17" s="19">
        <f t="shared" si="14"/>
        <v>2183.27</v>
      </c>
      <c r="U17" s="21" t="s">
        <v>19</v>
      </c>
      <c r="V17" s="20">
        <f>200.3+26.64+9.41</f>
        <v>236.35</v>
      </c>
    </row>
    <row r="18" spans="1:22" ht="16.5" thickBot="1">
      <c r="A18" s="53">
        <v>1</v>
      </c>
      <c r="B18" s="54" t="s">
        <v>20</v>
      </c>
      <c r="C18" s="55">
        <v>57</v>
      </c>
      <c r="D18" s="56">
        <v>5</v>
      </c>
      <c r="E18" s="57">
        <v>2121</v>
      </c>
      <c r="F18" s="58">
        <v>100</v>
      </c>
      <c r="G18" s="58"/>
      <c r="H18" s="58"/>
      <c r="I18" s="58"/>
      <c r="J18" s="58"/>
      <c r="K18" s="58"/>
      <c r="L18" s="58"/>
      <c r="M18" s="58"/>
      <c r="N18" s="58"/>
      <c r="O18" s="19">
        <f t="shared" si="10"/>
        <v>2221</v>
      </c>
      <c r="P18" s="19">
        <f t="shared" si="11"/>
        <v>2221</v>
      </c>
      <c r="Q18" s="20">
        <f t="shared" si="12"/>
        <v>199.89</v>
      </c>
      <c r="R18" s="20"/>
      <c r="S18" s="20">
        <f t="shared" si="13"/>
        <v>199.89</v>
      </c>
      <c r="T18" s="19">
        <f t="shared" si="14"/>
        <v>2420.89</v>
      </c>
      <c r="U18" s="21" t="s">
        <v>19</v>
      </c>
      <c r="V18" s="20">
        <f>222.1+29.54+10.44</f>
        <v>262.08</v>
      </c>
    </row>
    <row r="19" spans="1:22" ht="15.75">
      <c r="A19" s="47">
        <v>1</v>
      </c>
      <c r="B19" s="48" t="s">
        <v>47</v>
      </c>
      <c r="C19" s="49">
        <v>18</v>
      </c>
      <c r="D19" s="50">
        <v>5</v>
      </c>
      <c r="E19" s="51">
        <v>1848</v>
      </c>
      <c r="F19" s="52">
        <f>96+246.4</f>
        <v>342.4</v>
      </c>
      <c r="G19" s="52"/>
      <c r="H19" s="52"/>
      <c r="I19" s="52"/>
      <c r="J19" s="52"/>
      <c r="K19" s="52"/>
      <c r="L19" s="52"/>
      <c r="M19" s="52">
        <v>92</v>
      </c>
      <c r="N19" s="52"/>
      <c r="O19" s="19">
        <f t="shared" si="10"/>
        <v>2282.4</v>
      </c>
      <c r="P19" s="19">
        <f t="shared" si="11"/>
        <v>2190.4</v>
      </c>
      <c r="Q19" s="20">
        <f t="shared" si="12"/>
        <v>197.136</v>
      </c>
      <c r="R19" s="20"/>
      <c r="S19" s="20">
        <f t="shared" si="13"/>
        <v>197.136</v>
      </c>
      <c r="T19" s="19">
        <f t="shared" si="14"/>
        <v>2387.5360000000001</v>
      </c>
      <c r="U19" s="21" t="s">
        <v>19</v>
      </c>
      <c r="V19" s="20">
        <f>219.04+29.13+10.29</f>
        <v>258.45999999999998</v>
      </c>
    </row>
    <row r="20" spans="1:22" ht="15.75">
      <c r="A20" s="22">
        <v>2</v>
      </c>
      <c r="B20" s="23" t="s">
        <v>27</v>
      </c>
      <c r="C20" s="17">
        <v>29</v>
      </c>
      <c r="D20" s="18"/>
      <c r="E20" s="19">
        <v>1899</v>
      </c>
      <c r="F20" s="20">
        <v>75</v>
      </c>
      <c r="G20" s="20"/>
      <c r="H20" s="20"/>
      <c r="I20" s="20"/>
      <c r="J20" s="20"/>
      <c r="K20" s="20"/>
      <c r="L20" s="20"/>
      <c r="M20" s="20"/>
      <c r="N20" s="20"/>
      <c r="O20" s="19">
        <f t="shared" si="10"/>
        <v>1974</v>
      </c>
      <c r="P20" s="19">
        <f t="shared" si="11"/>
        <v>1974</v>
      </c>
      <c r="Q20" s="20">
        <f t="shared" si="12"/>
        <v>177.66</v>
      </c>
      <c r="R20" s="20"/>
      <c r="S20" s="20">
        <f t="shared" si="13"/>
        <v>177.66</v>
      </c>
      <c r="T20" s="19">
        <f t="shared" si="14"/>
        <v>2151.66</v>
      </c>
      <c r="U20" s="21" t="s">
        <v>18</v>
      </c>
      <c r="V20" s="20">
        <f>+P20*12.88%</f>
        <v>254.25119999999998</v>
      </c>
    </row>
    <row r="21" spans="1:22" ht="15.75">
      <c r="A21" s="22">
        <v>1</v>
      </c>
      <c r="B21" s="23" t="s">
        <v>21</v>
      </c>
      <c r="C21" s="17">
        <v>19</v>
      </c>
      <c r="D21" s="18">
        <v>5</v>
      </c>
      <c r="E21" s="19">
        <v>1666</v>
      </c>
      <c r="F21" s="20">
        <f>75+92+232.13</f>
        <v>399.13</v>
      </c>
      <c r="G21" s="20"/>
      <c r="H21" s="20"/>
      <c r="I21" s="20"/>
      <c r="J21" s="20"/>
      <c r="K21" s="20"/>
      <c r="L21" s="20"/>
      <c r="M21" s="20">
        <v>92</v>
      </c>
      <c r="N21" s="20"/>
      <c r="O21" s="19">
        <f t="shared" si="10"/>
        <v>2157.13</v>
      </c>
      <c r="P21" s="19">
        <f t="shared" si="11"/>
        <v>2065.13</v>
      </c>
      <c r="Q21" s="20">
        <f t="shared" si="12"/>
        <v>185.86170000000001</v>
      </c>
      <c r="R21" s="20"/>
      <c r="S21" s="20">
        <f t="shared" si="13"/>
        <v>185.86170000000001</v>
      </c>
      <c r="T21" s="19">
        <f t="shared" si="14"/>
        <v>2250.9917</v>
      </c>
      <c r="U21" s="21" t="s">
        <v>2</v>
      </c>
      <c r="V21" s="20">
        <f>+P21*12.93%</f>
        <v>267.02130900000003</v>
      </c>
    </row>
    <row r="22" spans="1:22" ht="15.75">
      <c r="A22" s="22">
        <v>2</v>
      </c>
      <c r="B22" s="23" t="s">
        <v>44</v>
      </c>
      <c r="C22" s="17">
        <v>10</v>
      </c>
      <c r="D22" s="18">
        <v>5</v>
      </c>
      <c r="E22" s="19">
        <v>1666</v>
      </c>
      <c r="F22" s="20">
        <f>75+92+232.13</f>
        <v>399.13</v>
      </c>
      <c r="G22" s="20"/>
      <c r="H22" s="20"/>
      <c r="I22" s="20"/>
      <c r="J22" s="20"/>
      <c r="K22" s="20"/>
      <c r="L22" s="20"/>
      <c r="M22" s="20">
        <v>92</v>
      </c>
      <c r="N22" s="20"/>
      <c r="O22" s="19">
        <f t="shared" si="10"/>
        <v>2157.13</v>
      </c>
      <c r="P22" s="19">
        <f t="shared" si="11"/>
        <v>2065.13</v>
      </c>
      <c r="Q22" s="20">
        <f t="shared" si="12"/>
        <v>185.86170000000001</v>
      </c>
      <c r="R22" s="20"/>
      <c r="S22" s="20">
        <f t="shared" si="13"/>
        <v>185.86170000000001</v>
      </c>
      <c r="T22" s="19">
        <f t="shared" si="14"/>
        <v>2250.9917</v>
      </c>
      <c r="U22" s="21" t="s">
        <v>1</v>
      </c>
      <c r="V22" s="20">
        <f>+P22*13%</f>
        <v>268.46690000000001</v>
      </c>
    </row>
    <row r="23" spans="1:22" ht="15.75">
      <c r="A23" s="22">
        <v>3</v>
      </c>
      <c r="B23" s="23" t="s">
        <v>11</v>
      </c>
      <c r="C23" s="17">
        <v>29</v>
      </c>
      <c r="D23" s="18">
        <v>5</v>
      </c>
      <c r="E23" s="19">
        <v>1899</v>
      </c>
      <c r="F23" s="20">
        <f>75+104+50</f>
        <v>229</v>
      </c>
      <c r="G23" s="20"/>
      <c r="H23" s="20"/>
      <c r="I23" s="20"/>
      <c r="J23" s="20"/>
      <c r="K23" s="20"/>
      <c r="L23" s="20"/>
      <c r="M23" s="20"/>
      <c r="N23" s="20"/>
      <c r="O23" s="19">
        <f t="shared" si="10"/>
        <v>2128</v>
      </c>
      <c r="P23" s="19">
        <f t="shared" si="11"/>
        <v>2128</v>
      </c>
      <c r="Q23" s="20">
        <f t="shared" si="12"/>
        <v>191.51999999999998</v>
      </c>
      <c r="R23" s="20"/>
      <c r="S23" s="20">
        <f t="shared" si="13"/>
        <v>191.51999999999998</v>
      </c>
      <c r="T23" s="19">
        <f t="shared" si="14"/>
        <v>2319.52</v>
      </c>
      <c r="U23" s="21" t="s">
        <v>18</v>
      </c>
      <c r="V23" s="20">
        <f>212.8+28.3+26.17</f>
        <v>267.27000000000004</v>
      </c>
    </row>
    <row r="24" spans="1:22" ht="15.75">
      <c r="A24" s="22">
        <v>3</v>
      </c>
      <c r="B24" s="23" t="s">
        <v>45</v>
      </c>
      <c r="C24" s="17">
        <v>30</v>
      </c>
      <c r="D24" s="18">
        <v>5</v>
      </c>
      <c r="E24" s="19">
        <v>1666</v>
      </c>
      <c r="F24" s="20">
        <f>75+104</f>
        <v>179</v>
      </c>
      <c r="G24" s="20">
        <v>150</v>
      </c>
      <c r="H24" s="20"/>
      <c r="I24" s="20"/>
      <c r="J24" s="20"/>
      <c r="K24" s="20"/>
      <c r="L24" s="20"/>
      <c r="M24" s="20"/>
      <c r="N24" s="20"/>
      <c r="O24" s="19">
        <f t="shared" si="10"/>
        <v>1995</v>
      </c>
      <c r="P24" s="19">
        <f t="shared" si="11"/>
        <v>1995</v>
      </c>
      <c r="Q24" s="20">
        <f t="shared" si="12"/>
        <v>179.54999999999998</v>
      </c>
      <c r="R24" s="20"/>
      <c r="S24" s="20">
        <f t="shared" si="13"/>
        <v>179.54999999999998</v>
      </c>
      <c r="T24" s="19">
        <f t="shared" si="14"/>
        <v>2174.5500000000002</v>
      </c>
      <c r="U24" s="21" t="s">
        <v>18</v>
      </c>
      <c r="V24" s="20">
        <f>+P24*12.88%</f>
        <v>256.95600000000002</v>
      </c>
    </row>
    <row r="25" spans="1:22" ht="15.75">
      <c r="A25" s="22">
        <v>4</v>
      </c>
      <c r="B25" s="23" t="s">
        <v>46</v>
      </c>
      <c r="C25" s="17">
        <v>49</v>
      </c>
      <c r="D25" s="18">
        <v>5</v>
      </c>
      <c r="E25" s="19">
        <v>1848</v>
      </c>
      <c r="F25" s="20">
        <f>75+104+75</f>
        <v>254</v>
      </c>
      <c r="G25" s="20">
        <v>150</v>
      </c>
      <c r="H25" s="20"/>
      <c r="I25" s="20"/>
      <c r="J25" s="20"/>
      <c r="K25" s="20"/>
      <c r="L25" s="20"/>
      <c r="M25" s="20"/>
      <c r="N25" s="20"/>
      <c r="O25" s="19">
        <f t="shared" si="10"/>
        <v>2252</v>
      </c>
      <c r="P25" s="19">
        <f t="shared" si="11"/>
        <v>2252</v>
      </c>
      <c r="Q25" s="20">
        <f t="shared" si="12"/>
        <v>202.67999999999998</v>
      </c>
      <c r="R25" s="20"/>
      <c r="S25" s="20">
        <f t="shared" si="13"/>
        <v>202.67999999999998</v>
      </c>
      <c r="T25" s="19">
        <f t="shared" si="14"/>
        <v>2454.6799999999998</v>
      </c>
      <c r="U25" s="21" t="s">
        <v>18</v>
      </c>
      <c r="V25" s="20">
        <f>+P25*12.88%</f>
        <v>290.05759999999998</v>
      </c>
    </row>
    <row r="26" spans="1:22" ht="15.75">
      <c r="A26" s="22">
        <v>5</v>
      </c>
      <c r="B26" s="23" t="s">
        <v>41</v>
      </c>
      <c r="C26" s="17">
        <v>21</v>
      </c>
      <c r="D26" s="18">
        <v>5</v>
      </c>
      <c r="E26" s="19">
        <v>1848</v>
      </c>
      <c r="F26" s="20">
        <f>92+184.8</f>
        <v>276.8</v>
      </c>
      <c r="G26" s="20"/>
      <c r="H26" s="20"/>
      <c r="I26" s="20"/>
      <c r="J26" s="20"/>
      <c r="K26" s="20"/>
      <c r="L26" s="20"/>
      <c r="M26" s="20">
        <v>80.5</v>
      </c>
      <c r="N26" s="20"/>
      <c r="O26" s="19">
        <f t="shared" si="10"/>
        <v>2205.3000000000002</v>
      </c>
      <c r="P26" s="19">
        <f t="shared" si="11"/>
        <v>2124.8000000000002</v>
      </c>
      <c r="Q26" s="20">
        <f t="shared" si="12"/>
        <v>191.232</v>
      </c>
      <c r="R26" s="20"/>
      <c r="S26" s="20">
        <f t="shared" si="13"/>
        <v>191.232</v>
      </c>
      <c r="T26" s="19">
        <f t="shared" si="14"/>
        <v>2316.0320000000002</v>
      </c>
      <c r="U26" s="21" t="s">
        <v>0</v>
      </c>
      <c r="V26" s="20">
        <f>+P26*13.02%</f>
        <v>276.64895999999999</v>
      </c>
    </row>
    <row r="27" spans="1:22" ht="15.75">
      <c r="A27" s="22">
        <v>5</v>
      </c>
      <c r="B27" s="23" t="s">
        <v>13</v>
      </c>
      <c r="C27" s="17">
        <v>3</v>
      </c>
      <c r="D27" s="18">
        <v>5</v>
      </c>
      <c r="E27" s="19">
        <v>1666</v>
      </c>
      <c r="F27" s="20">
        <f>75+104+50</f>
        <v>229</v>
      </c>
      <c r="G27" s="20"/>
      <c r="H27" s="20"/>
      <c r="I27" s="20"/>
      <c r="J27" s="20"/>
      <c r="K27" s="20"/>
      <c r="L27" s="20"/>
      <c r="M27" s="20"/>
      <c r="N27" s="20"/>
      <c r="O27" s="19">
        <f t="shared" si="10"/>
        <v>1895</v>
      </c>
      <c r="P27" s="19">
        <f t="shared" si="11"/>
        <v>1895</v>
      </c>
      <c r="Q27" s="20">
        <f t="shared" si="12"/>
        <v>170.54999999999998</v>
      </c>
      <c r="R27" s="20"/>
      <c r="S27" s="20">
        <f t="shared" si="13"/>
        <v>170.54999999999998</v>
      </c>
      <c r="T27" s="19">
        <f t="shared" si="14"/>
        <v>2065.5500000000002</v>
      </c>
      <c r="U27" s="21" t="s">
        <v>0</v>
      </c>
      <c r="V27" s="20">
        <f>+P27*13.02%</f>
        <v>246.72899999999996</v>
      </c>
    </row>
    <row r="28" spans="1:22" ht="15.75">
      <c r="A28" s="22">
        <v>4</v>
      </c>
      <c r="B28" s="23" t="s">
        <v>40</v>
      </c>
      <c r="C28" s="17">
        <v>25</v>
      </c>
      <c r="D28" s="18">
        <v>5</v>
      </c>
      <c r="E28" s="19">
        <v>1848</v>
      </c>
      <c r="F28" s="20">
        <f>75+104</f>
        <v>179</v>
      </c>
      <c r="G28" s="20"/>
      <c r="H28" s="20"/>
      <c r="I28" s="20"/>
      <c r="J28" s="20"/>
      <c r="K28" s="20"/>
      <c r="L28" s="20"/>
      <c r="M28" s="20"/>
      <c r="N28" s="20"/>
      <c r="O28" s="19">
        <f t="shared" si="10"/>
        <v>2027</v>
      </c>
      <c r="P28" s="19">
        <f t="shared" si="11"/>
        <v>2027</v>
      </c>
      <c r="Q28" s="20">
        <f t="shared" si="12"/>
        <v>182.43</v>
      </c>
      <c r="R28" s="20"/>
      <c r="S28" s="20">
        <f t="shared" si="13"/>
        <v>182.43</v>
      </c>
      <c r="T28" s="19">
        <f t="shared" si="14"/>
        <v>2209.4299999999998</v>
      </c>
      <c r="U28" s="21" t="s">
        <v>0</v>
      </c>
      <c r="V28" s="20">
        <f>+P28*13.02%</f>
        <v>263.91539999999998</v>
      </c>
    </row>
    <row r="29" spans="1:22" ht="15.75">
      <c r="A29" s="22">
        <v>7</v>
      </c>
      <c r="B29" s="23" t="s">
        <v>30</v>
      </c>
      <c r="C29" s="17">
        <v>21</v>
      </c>
      <c r="D29" s="18">
        <v>5</v>
      </c>
      <c r="E29" s="19">
        <v>1848</v>
      </c>
      <c r="F29" s="20">
        <f>96+246.4</f>
        <v>342.4</v>
      </c>
      <c r="G29" s="20"/>
      <c r="H29" s="20"/>
      <c r="I29" s="20"/>
      <c r="J29" s="20"/>
      <c r="K29" s="20"/>
      <c r="L29" s="20"/>
      <c r="M29" s="20">
        <v>92</v>
      </c>
      <c r="N29" s="20"/>
      <c r="O29" s="19">
        <f t="shared" si="10"/>
        <v>2282.4</v>
      </c>
      <c r="P29" s="19">
        <f t="shared" si="11"/>
        <v>2190.4</v>
      </c>
      <c r="Q29" s="20">
        <f t="shared" si="12"/>
        <v>197.136</v>
      </c>
      <c r="R29" s="20"/>
      <c r="S29" s="20">
        <f t="shared" si="13"/>
        <v>197.136</v>
      </c>
      <c r="T29" s="19">
        <f t="shared" si="14"/>
        <v>2387.5360000000001</v>
      </c>
      <c r="U29" s="21" t="s">
        <v>18</v>
      </c>
      <c r="V29" s="20">
        <f>+P29*12.88%</f>
        <v>282.12351999999998</v>
      </c>
    </row>
    <row r="30" spans="1:22" ht="15.75">
      <c r="A30" s="22">
        <v>6</v>
      </c>
      <c r="B30" s="23" t="s">
        <v>14</v>
      </c>
      <c r="C30" s="17">
        <v>40</v>
      </c>
      <c r="D30" s="18">
        <v>5</v>
      </c>
      <c r="E30" s="19">
        <v>1951</v>
      </c>
      <c r="F30" s="20">
        <f>75+88+202.6</f>
        <v>365.6</v>
      </c>
      <c r="G30" s="20"/>
      <c r="H30" s="20"/>
      <c r="I30" s="20"/>
      <c r="J30" s="20"/>
      <c r="K30" s="20"/>
      <c r="L30" s="20"/>
      <c r="M30" s="20">
        <v>80.5</v>
      </c>
      <c r="N30" s="20"/>
      <c r="O30" s="19">
        <f t="shared" si="10"/>
        <v>2397.1</v>
      </c>
      <c r="P30" s="19">
        <f t="shared" si="11"/>
        <v>2316.6</v>
      </c>
      <c r="Q30" s="20">
        <f t="shared" si="12"/>
        <v>208.49399999999997</v>
      </c>
      <c r="R30" s="20"/>
      <c r="S30" s="20">
        <f t="shared" si="13"/>
        <v>208.49399999999997</v>
      </c>
      <c r="T30" s="19">
        <f t="shared" si="14"/>
        <v>2525.0940000000001</v>
      </c>
      <c r="U30" s="21" t="s">
        <v>0</v>
      </c>
      <c r="V30" s="20">
        <f>+P30*13.02%</f>
        <v>301.62131999999997</v>
      </c>
    </row>
    <row r="31" spans="1:22" ht="15.75">
      <c r="A31" s="22">
        <v>8</v>
      </c>
      <c r="B31" s="23" t="s">
        <v>42</v>
      </c>
      <c r="C31" s="17">
        <v>16</v>
      </c>
      <c r="D31" s="18">
        <v>5</v>
      </c>
      <c r="E31" s="19">
        <v>1848</v>
      </c>
      <c r="F31" s="20">
        <v>104</v>
      </c>
      <c r="G31" s="20"/>
      <c r="H31" s="20"/>
      <c r="I31" s="20"/>
      <c r="J31" s="20"/>
      <c r="K31" s="20"/>
      <c r="L31" s="20"/>
      <c r="M31" s="20"/>
      <c r="N31" s="20"/>
      <c r="O31" s="19">
        <f t="shared" si="10"/>
        <v>1952</v>
      </c>
      <c r="P31" s="19">
        <f t="shared" si="11"/>
        <v>1952</v>
      </c>
      <c r="Q31" s="20">
        <f t="shared" si="12"/>
        <v>175.68</v>
      </c>
      <c r="R31" s="20"/>
      <c r="S31" s="20">
        <f t="shared" si="13"/>
        <v>175.68</v>
      </c>
      <c r="T31" s="19">
        <f t="shared" si="14"/>
        <v>2127.6799999999998</v>
      </c>
      <c r="U31" s="21" t="s">
        <v>0</v>
      </c>
      <c r="V31" s="20">
        <f>195.2+25.96+28.5</f>
        <v>249.66</v>
      </c>
    </row>
    <row r="32" spans="1:22" ht="15.75">
      <c r="A32" s="22">
        <v>6</v>
      </c>
      <c r="B32" s="23" t="s">
        <v>15</v>
      </c>
      <c r="C32" s="17">
        <v>10</v>
      </c>
      <c r="D32" s="18">
        <v>5</v>
      </c>
      <c r="E32" s="19">
        <v>1666</v>
      </c>
      <c r="F32" s="20">
        <f>75+92+232.13</f>
        <v>399.13</v>
      </c>
      <c r="G32" s="20"/>
      <c r="H32" s="20"/>
      <c r="I32" s="20"/>
      <c r="J32" s="20"/>
      <c r="K32" s="20"/>
      <c r="L32" s="20"/>
      <c r="M32" s="20">
        <v>92</v>
      </c>
      <c r="N32" s="20"/>
      <c r="O32" s="19">
        <f t="shared" si="10"/>
        <v>2157.13</v>
      </c>
      <c r="P32" s="19">
        <f t="shared" si="11"/>
        <v>2065.13</v>
      </c>
      <c r="Q32" s="20">
        <f t="shared" si="12"/>
        <v>185.86170000000001</v>
      </c>
      <c r="R32" s="20"/>
      <c r="S32" s="20">
        <f t="shared" si="13"/>
        <v>185.86170000000001</v>
      </c>
      <c r="T32" s="19">
        <f t="shared" si="14"/>
        <v>2250.9917</v>
      </c>
      <c r="U32" s="21" t="s">
        <v>18</v>
      </c>
      <c r="V32" s="20">
        <f>206.51+27.47+25.4</f>
        <v>259.38</v>
      </c>
    </row>
    <row r="33" spans="1:22" ht="15.75">
      <c r="A33" s="22">
        <v>9</v>
      </c>
      <c r="B33" s="23" t="s">
        <v>43</v>
      </c>
      <c r="C33" s="17">
        <v>29</v>
      </c>
      <c r="D33" s="18">
        <v>5</v>
      </c>
      <c r="E33" s="19">
        <v>1848</v>
      </c>
      <c r="F33" s="20">
        <f>75+96+256.4</f>
        <v>427.4</v>
      </c>
      <c r="G33" s="20"/>
      <c r="H33" s="20"/>
      <c r="I33" s="20"/>
      <c r="J33" s="20"/>
      <c r="K33" s="20"/>
      <c r="L33" s="20"/>
      <c r="M33" s="20">
        <v>92</v>
      </c>
      <c r="N33" s="20"/>
      <c r="O33" s="19">
        <f t="shared" si="10"/>
        <v>2367.4</v>
      </c>
      <c r="P33" s="19">
        <f t="shared" si="11"/>
        <v>2275.4</v>
      </c>
      <c r="Q33" s="20">
        <f t="shared" si="12"/>
        <v>204.786</v>
      </c>
      <c r="R33" s="20"/>
      <c r="S33" s="20">
        <f t="shared" si="13"/>
        <v>204.786</v>
      </c>
      <c r="T33" s="19">
        <f t="shared" si="14"/>
        <v>2480.1860000000001</v>
      </c>
      <c r="U33" s="21" t="s">
        <v>1</v>
      </c>
      <c r="V33" s="20">
        <f>+P33*13%</f>
        <v>295.80200000000002</v>
      </c>
    </row>
    <row r="34" spans="1:22" ht="15.75">
      <c r="A34" s="22">
        <v>10</v>
      </c>
      <c r="B34" s="23" t="s">
        <v>23</v>
      </c>
      <c r="C34" s="17">
        <v>28</v>
      </c>
      <c r="D34" s="18">
        <v>5</v>
      </c>
      <c r="E34" s="19">
        <v>1899</v>
      </c>
      <c r="F34" s="20">
        <f>75+104+50</f>
        <v>229</v>
      </c>
      <c r="G34" s="20"/>
      <c r="H34" s="20"/>
      <c r="I34" s="20"/>
      <c r="J34" s="20"/>
      <c r="K34" s="20"/>
      <c r="L34" s="20"/>
      <c r="M34" s="20"/>
      <c r="N34" s="20"/>
      <c r="O34" s="19">
        <f t="shared" si="10"/>
        <v>2128</v>
      </c>
      <c r="P34" s="19">
        <f t="shared" si="11"/>
        <v>2128</v>
      </c>
      <c r="Q34" s="20">
        <f t="shared" si="12"/>
        <v>191.51999999999998</v>
      </c>
      <c r="R34" s="20"/>
      <c r="S34" s="20">
        <f t="shared" si="13"/>
        <v>191.51999999999998</v>
      </c>
      <c r="T34" s="19">
        <f t="shared" si="14"/>
        <v>2319.52</v>
      </c>
      <c r="U34" s="21" t="s">
        <v>18</v>
      </c>
      <c r="V34" s="20">
        <f>+P34*12.88%</f>
        <v>274.08639999999997</v>
      </c>
    </row>
  </sheetData>
  <sortState ref="A16:V31">
    <sortCondition ref="B16"/>
  </sortState>
  <pageMargins left="0.42" right="0.1574803149606299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34"/>
  <sheetViews>
    <sheetView workbookViewId="0">
      <selection activeCell="A2" sqref="A2:B2"/>
    </sheetView>
  </sheetViews>
  <sheetFormatPr baseColWidth="10" defaultRowHeight="15"/>
  <cols>
    <col min="1" max="1" width="3" customWidth="1"/>
    <col min="2" max="2" width="22.140625" customWidth="1"/>
    <col min="3" max="3" width="3.7109375" customWidth="1"/>
    <col min="4" max="4" width="4.5703125" customWidth="1"/>
    <col min="5" max="5" width="9.28515625" customWidth="1"/>
    <col min="6" max="6" width="8.140625" customWidth="1"/>
    <col min="7" max="7" width="8.28515625" customWidth="1"/>
    <col min="8" max="8" width="5" customWidth="1"/>
    <col min="9" max="9" width="5.85546875" customWidth="1"/>
    <col min="10" max="10" width="5.140625" customWidth="1"/>
    <col min="11" max="11" width="8.28515625" customWidth="1"/>
    <col min="12" max="12" width="6.140625" customWidth="1"/>
    <col min="13" max="13" width="7" customWidth="1"/>
    <col min="14" max="14" width="8.42578125" customWidth="1"/>
    <col min="15" max="15" width="9.42578125" customWidth="1"/>
    <col min="16" max="16" width="9.5703125" customWidth="1"/>
    <col min="17" max="17" width="8.42578125" customWidth="1"/>
    <col min="18" max="18" width="5.28515625" customWidth="1"/>
    <col min="19" max="19" width="8.140625" customWidth="1"/>
    <col min="20" max="20" width="9.140625" customWidth="1"/>
    <col min="21" max="21" width="7.5703125" customWidth="1"/>
    <col min="22" max="22" width="8.42578125" customWidth="1"/>
  </cols>
  <sheetData>
    <row r="1" spans="1:22" ht="15.75">
      <c r="A1" s="63">
        <v>1</v>
      </c>
      <c r="B1" s="64" t="s">
        <v>33</v>
      </c>
      <c r="C1" s="24">
        <v>181</v>
      </c>
      <c r="D1" s="25">
        <v>5</v>
      </c>
      <c r="E1" s="26">
        <v>2241</v>
      </c>
      <c r="F1" s="27"/>
      <c r="G1" s="27"/>
      <c r="H1" s="27"/>
      <c r="I1" s="27"/>
      <c r="J1" s="27"/>
      <c r="K1" s="27">
        <v>3295</v>
      </c>
      <c r="L1" s="27"/>
      <c r="M1" s="27"/>
      <c r="N1" s="27">
        <v>1054</v>
      </c>
      <c r="O1" s="19">
        <f>SUM(E1:N1)</f>
        <v>6590</v>
      </c>
      <c r="P1" s="19">
        <f>O1-M1-J1</f>
        <v>6590</v>
      </c>
      <c r="Q1" s="20">
        <f>P1*9%</f>
        <v>593.1</v>
      </c>
      <c r="R1" s="20"/>
      <c r="S1" s="20">
        <f>Q1+R1</f>
        <v>593.1</v>
      </c>
      <c r="T1" s="19">
        <f>P1+S1</f>
        <v>7183.1</v>
      </c>
      <c r="U1" s="21" t="s">
        <v>0</v>
      </c>
      <c r="V1" s="20">
        <f>+P1*13.02%</f>
        <v>858.01799999999992</v>
      </c>
    </row>
    <row r="2" spans="1:22" ht="16.5" thickBot="1">
      <c r="A2" s="53">
        <v>1</v>
      </c>
      <c r="B2" s="54" t="s">
        <v>56</v>
      </c>
      <c r="C2" s="49"/>
      <c r="D2" s="50"/>
      <c r="E2" s="51"/>
      <c r="F2" s="52"/>
      <c r="G2" s="52"/>
      <c r="H2" s="52"/>
      <c r="I2" s="52"/>
      <c r="J2" s="52"/>
      <c r="K2" s="52"/>
      <c r="L2" s="52"/>
      <c r="M2" s="52"/>
      <c r="N2" s="52"/>
      <c r="O2" s="19"/>
      <c r="P2" s="19"/>
      <c r="Q2" s="20"/>
      <c r="R2" s="20"/>
      <c r="S2" s="20"/>
      <c r="T2" s="19"/>
      <c r="U2" s="21"/>
      <c r="V2" s="20"/>
    </row>
    <row r="3" spans="1:22" ht="15.75">
      <c r="A3" s="75">
        <v>1</v>
      </c>
      <c r="B3" s="76" t="s">
        <v>3</v>
      </c>
      <c r="C3" s="77">
        <v>85</v>
      </c>
      <c r="D3" s="78">
        <v>5</v>
      </c>
      <c r="E3" s="79">
        <v>2241</v>
      </c>
      <c r="F3" s="80">
        <v>75</v>
      </c>
      <c r="G3" s="80">
        <v>250</v>
      </c>
      <c r="H3" s="80"/>
      <c r="I3" s="80"/>
      <c r="J3" s="80"/>
      <c r="K3" s="80"/>
      <c r="L3" s="80"/>
      <c r="M3" s="80"/>
      <c r="N3" s="80"/>
      <c r="O3" s="19">
        <f>SUM(E3:N3)</f>
        <v>2566</v>
      </c>
      <c r="P3" s="19">
        <f>O3-M3-J3</f>
        <v>2566</v>
      </c>
      <c r="Q3" s="20">
        <f>P3*9%</f>
        <v>230.94</v>
      </c>
      <c r="R3" s="20"/>
      <c r="S3" s="20">
        <f>Q3+R3</f>
        <v>230.94</v>
      </c>
      <c r="T3" s="19">
        <f>P3+S3</f>
        <v>2796.94</v>
      </c>
      <c r="U3" s="21" t="s">
        <v>2</v>
      </c>
      <c r="V3" s="20">
        <f>+P3*12.93%</f>
        <v>331.78379999999999</v>
      </c>
    </row>
    <row r="4" spans="1:22" ht="16.5" thickBot="1">
      <c r="A4" s="53">
        <v>2</v>
      </c>
      <c r="B4" s="54" t="s">
        <v>56</v>
      </c>
      <c r="C4" s="55"/>
      <c r="D4" s="56"/>
      <c r="E4" s="57"/>
      <c r="F4" s="58"/>
      <c r="G4" s="58"/>
      <c r="H4" s="58"/>
      <c r="I4" s="58"/>
      <c r="J4" s="58"/>
      <c r="K4" s="58"/>
      <c r="L4" s="58"/>
      <c r="M4" s="58"/>
      <c r="N4" s="58"/>
      <c r="O4" s="19"/>
      <c r="P4" s="19"/>
      <c r="Q4" s="20"/>
      <c r="R4" s="20"/>
      <c r="S4" s="20"/>
      <c r="T4" s="19"/>
      <c r="U4" s="21"/>
      <c r="V4" s="20"/>
    </row>
    <row r="5" spans="1:22" ht="15.75">
      <c r="A5" s="47">
        <v>1</v>
      </c>
      <c r="B5" s="48" t="s">
        <v>4</v>
      </c>
      <c r="C5" s="49">
        <v>42</v>
      </c>
      <c r="D5" s="50">
        <v>5</v>
      </c>
      <c r="E5" s="51">
        <v>1789</v>
      </c>
      <c r="F5" s="52">
        <v>75</v>
      </c>
      <c r="G5" s="52">
        <v>150</v>
      </c>
      <c r="H5" s="52"/>
      <c r="I5" s="52"/>
      <c r="J5" s="52"/>
      <c r="K5" s="52"/>
      <c r="L5" s="52"/>
      <c r="M5" s="52"/>
      <c r="N5" s="52">
        <v>110</v>
      </c>
      <c r="O5" s="19">
        <f>SUM(E5:N5)</f>
        <v>2124</v>
      </c>
      <c r="P5" s="19">
        <f>O5-M5-J5</f>
        <v>2124</v>
      </c>
      <c r="Q5" s="20">
        <f>P5*9%</f>
        <v>191.16</v>
      </c>
      <c r="R5" s="20"/>
      <c r="S5" s="20">
        <f>Q5+R5</f>
        <v>191.16</v>
      </c>
      <c r="T5" s="19">
        <f>P5+S5</f>
        <v>2315.16</v>
      </c>
      <c r="U5" s="21" t="s">
        <v>0</v>
      </c>
      <c r="V5" s="20">
        <f>+P5*13.02%</f>
        <v>276.54479999999995</v>
      </c>
    </row>
    <row r="6" spans="1:22" ht="16.5" thickBot="1">
      <c r="A6" s="37">
        <v>2</v>
      </c>
      <c r="B6" s="42" t="s">
        <v>24</v>
      </c>
      <c r="C6" s="59"/>
      <c r="D6" s="60"/>
      <c r="E6" s="61"/>
      <c r="F6" s="62"/>
      <c r="G6" s="62"/>
      <c r="H6" s="62"/>
      <c r="I6" s="62"/>
      <c r="J6" s="62"/>
      <c r="K6" s="62"/>
      <c r="L6" s="62"/>
      <c r="M6" s="62"/>
      <c r="N6" s="62"/>
      <c r="O6" s="19"/>
      <c r="P6" s="19"/>
      <c r="Q6" s="20"/>
      <c r="R6" s="20"/>
      <c r="S6" s="20"/>
      <c r="T6" s="19"/>
      <c r="U6" s="21"/>
      <c r="V6" s="20"/>
    </row>
    <row r="7" spans="1:22" ht="15.75">
      <c r="A7" s="47">
        <v>1</v>
      </c>
      <c r="B7" s="48" t="s">
        <v>5</v>
      </c>
      <c r="C7" s="49">
        <v>69</v>
      </c>
      <c r="D7" s="50">
        <v>5</v>
      </c>
      <c r="E7" s="51">
        <v>1899</v>
      </c>
      <c r="F7" s="52">
        <v>75</v>
      </c>
      <c r="G7" s="52">
        <v>300</v>
      </c>
      <c r="H7" s="52"/>
      <c r="I7" s="52">
        <v>18.55</v>
      </c>
      <c r="J7" s="52"/>
      <c r="K7" s="52">
        <v>1992.55</v>
      </c>
      <c r="L7" s="52"/>
      <c r="M7" s="52"/>
      <c r="N7" s="52"/>
      <c r="O7" s="19">
        <f>SUM(E7:N7)</f>
        <v>4285.1000000000004</v>
      </c>
      <c r="P7" s="19">
        <f>O7-M7-J7</f>
        <v>4285.1000000000004</v>
      </c>
      <c r="Q7" s="20">
        <f>P7*9%</f>
        <v>385.65899999999999</v>
      </c>
      <c r="R7" s="20"/>
      <c r="S7" s="20">
        <f>Q7+R7</f>
        <v>385.65899999999999</v>
      </c>
      <c r="T7" s="19">
        <f>P7+S7</f>
        <v>4670.759</v>
      </c>
      <c r="U7" s="21" t="s">
        <v>0</v>
      </c>
      <c r="V7" s="20">
        <f>+P7*13.02%</f>
        <v>557.92002000000002</v>
      </c>
    </row>
    <row r="8" spans="1:22" ht="15.75">
      <c r="A8" s="22">
        <v>2</v>
      </c>
      <c r="B8" s="23" t="s">
        <v>34</v>
      </c>
      <c r="C8" s="17">
        <v>57</v>
      </c>
      <c r="D8" s="18">
        <v>5</v>
      </c>
      <c r="E8" s="19">
        <v>1666</v>
      </c>
      <c r="F8" s="20">
        <f>75+131.6+174.1+58.03</f>
        <v>438.73</v>
      </c>
      <c r="G8" s="20">
        <v>250</v>
      </c>
      <c r="H8" s="20"/>
      <c r="I8" s="20"/>
      <c r="J8" s="20"/>
      <c r="K8" s="20"/>
      <c r="L8" s="20"/>
      <c r="M8" s="20">
        <v>92</v>
      </c>
      <c r="N8" s="20">
        <v>233</v>
      </c>
      <c r="O8" s="19">
        <f t="shared" ref="O8:O10" si="0">SUM(E8:N8)</f>
        <v>2679.73</v>
      </c>
      <c r="P8" s="19">
        <f t="shared" ref="P8:P10" si="1">O8-M8-J8</f>
        <v>2587.73</v>
      </c>
      <c r="Q8" s="20">
        <f t="shared" ref="Q8:Q10" si="2">P8*9%</f>
        <v>232.89570000000001</v>
      </c>
      <c r="R8" s="20"/>
      <c r="S8" s="20">
        <f t="shared" ref="S8:S10" si="3">Q8+R8</f>
        <v>232.89570000000001</v>
      </c>
      <c r="T8" s="19">
        <f t="shared" ref="T8:T10" si="4">P8+S8</f>
        <v>2820.6257000000001</v>
      </c>
      <c r="U8" s="21" t="s">
        <v>18</v>
      </c>
      <c r="V8" s="20">
        <f>+P8*12.88%</f>
        <v>333.29962399999999</v>
      </c>
    </row>
    <row r="9" spans="1:22" ht="15.75">
      <c r="A9" s="22">
        <v>3</v>
      </c>
      <c r="B9" s="23" t="s">
        <v>7</v>
      </c>
      <c r="C9" s="17">
        <v>44</v>
      </c>
      <c r="D9" s="18">
        <v>5</v>
      </c>
      <c r="E9" s="19">
        <v>1727</v>
      </c>
      <c r="F9" s="20">
        <f>75+104+50</f>
        <v>229</v>
      </c>
      <c r="G9" s="20">
        <v>200</v>
      </c>
      <c r="H9" s="20"/>
      <c r="I9" s="20"/>
      <c r="J9" s="20"/>
      <c r="K9" s="20"/>
      <c r="L9" s="20"/>
      <c r="M9" s="20"/>
      <c r="N9" s="20">
        <v>121</v>
      </c>
      <c r="O9" s="19">
        <f t="shared" si="0"/>
        <v>2277</v>
      </c>
      <c r="P9" s="19">
        <f t="shared" si="1"/>
        <v>2277</v>
      </c>
      <c r="Q9" s="20">
        <f t="shared" si="2"/>
        <v>204.92999999999998</v>
      </c>
      <c r="R9" s="20"/>
      <c r="S9" s="20">
        <f t="shared" si="3"/>
        <v>204.92999999999998</v>
      </c>
      <c r="T9" s="19">
        <f t="shared" si="4"/>
        <v>2481.9299999999998</v>
      </c>
      <c r="U9" s="21" t="s">
        <v>2</v>
      </c>
      <c r="V9" s="20">
        <f>+P9*12.93%</f>
        <v>294.41609999999997</v>
      </c>
    </row>
    <row r="10" spans="1:22" ht="16.5" thickBot="1">
      <c r="A10" s="53">
        <v>4</v>
      </c>
      <c r="B10" s="54" t="s">
        <v>8</v>
      </c>
      <c r="C10" s="55">
        <v>43</v>
      </c>
      <c r="D10" s="56">
        <v>5</v>
      </c>
      <c r="E10" s="57">
        <v>1951</v>
      </c>
      <c r="F10" s="58">
        <f>75+104</f>
        <v>179</v>
      </c>
      <c r="G10" s="58">
        <v>150</v>
      </c>
      <c r="H10" s="58"/>
      <c r="I10" s="58"/>
      <c r="J10" s="58"/>
      <c r="K10" s="58"/>
      <c r="L10" s="58"/>
      <c r="M10" s="58"/>
      <c r="N10" s="58"/>
      <c r="O10" s="19">
        <f t="shared" si="0"/>
        <v>2280</v>
      </c>
      <c r="P10" s="19">
        <f t="shared" si="1"/>
        <v>2280</v>
      </c>
      <c r="Q10" s="20">
        <f t="shared" si="2"/>
        <v>205.2</v>
      </c>
      <c r="R10" s="20"/>
      <c r="S10" s="20">
        <f t="shared" si="3"/>
        <v>205.2</v>
      </c>
      <c r="T10" s="19">
        <f t="shared" si="4"/>
        <v>2485.1999999999998</v>
      </c>
      <c r="U10" s="21" t="s">
        <v>18</v>
      </c>
      <c r="V10" s="20">
        <f>+P10*12.88%</f>
        <v>293.66399999999999</v>
      </c>
    </row>
    <row r="11" spans="1:22" ht="15.75">
      <c r="A11" s="47">
        <v>1</v>
      </c>
      <c r="B11" s="48" t="s">
        <v>35</v>
      </c>
      <c r="C11" s="49">
        <v>18</v>
      </c>
      <c r="D11" s="50">
        <v>5</v>
      </c>
      <c r="E11" s="51">
        <v>905</v>
      </c>
      <c r="F11" s="52">
        <f>75+104</f>
        <v>179</v>
      </c>
      <c r="G11" s="52">
        <v>150</v>
      </c>
      <c r="H11" s="52"/>
      <c r="I11" s="52"/>
      <c r="J11" s="52"/>
      <c r="K11" s="52"/>
      <c r="L11" s="52"/>
      <c r="M11" s="52"/>
      <c r="N11" s="52">
        <v>761</v>
      </c>
      <c r="O11" s="19">
        <f>SUM(E11:N11)</f>
        <v>1995</v>
      </c>
      <c r="P11" s="19">
        <f>O11-M11-J11</f>
        <v>1995</v>
      </c>
      <c r="Q11" s="20">
        <f>P11*9%</f>
        <v>179.54999999999998</v>
      </c>
      <c r="R11" s="20"/>
      <c r="S11" s="20">
        <f>Q11+R11</f>
        <v>179.54999999999998</v>
      </c>
      <c r="T11" s="19">
        <f>P11+S11</f>
        <v>2174.5500000000002</v>
      </c>
      <c r="U11" s="21" t="s">
        <v>0</v>
      </c>
      <c r="V11" s="20">
        <f>+P11*13.02%</f>
        <v>259.74899999999997</v>
      </c>
    </row>
    <row r="12" spans="1:22" ht="15.75">
      <c r="A12" s="22">
        <v>2</v>
      </c>
      <c r="B12" s="23" t="s">
        <v>48</v>
      </c>
      <c r="C12" s="17"/>
      <c r="D12" s="18"/>
      <c r="E12" s="19">
        <v>880</v>
      </c>
      <c r="F12" s="20">
        <v>104</v>
      </c>
      <c r="G12" s="20"/>
      <c r="H12" s="20"/>
      <c r="I12" s="20"/>
      <c r="J12" s="20"/>
      <c r="K12" s="20"/>
      <c r="L12" s="20"/>
      <c r="M12" s="20"/>
      <c r="N12" s="20">
        <v>786</v>
      </c>
      <c r="O12" s="19">
        <f t="shared" ref="O12:O13" si="5">SUM(E12:N12)</f>
        <v>1770</v>
      </c>
      <c r="P12" s="19">
        <f t="shared" ref="P12:P13" si="6">O12-M12-J12</f>
        <v>1770</v>
      </c>
      <c r="Q12" s="20">
        <f t="shared" ref="Q12:Q13" si="7">P12*9%</f>
        <v>159.29999999999998</v>
      </c>
      <c r="R12" s="20"/>
      <c r="S12" s="20">
        <f t="shared" ref="S12:S13" si="8">Q12+R12</f>
        <v>159.29999999999998</v>
      </c>
      <c r="T12" s="19">
        <f t="shared" ref="T12:T13" si="9">P12+S12</f>
        <v>1929.3</v>
      </c>
      <c r="U12" s="21" t="s">
        <v>2</v>
      </c>
      <c r="V12" s="20">
        <f>+P12*12.93%</f>
        <v>228.86099999999999</v>
      </c>
    </row>
    <row r="13" spans="1:22" ht="16.5" thickBot="1">
      <c r="A13" s="53">
        <v>3</v>
      </c>
      <c r="B13" s="54" t="s">
        <v>49</v>
      </c>
      <c r="C13" s="55"/>
      <c r="D13" s="56">
        <v>5</v>
      </c>
      <c r="E13" s="57">
        <v>905</v>
      </c>
      <c r="F13" s="58"/>
      <c r="G13" s="58"/>
      <c r="H13" s="58"/>
      <c r="I13" s="58"/>
      <c r="J13" s="58"/>
      <c r="K13" s="58">
        <v>1666</v>
      </c>
      <c r="L13" s="58"/>
      <c r="M13" s="58"/>
      <c r="N13" s="58">
        <v>761</v>
      </c>
      <c r="O13" s="19">
        <f t="shared" si="5"/>
        <v>3332</v>
      </c>
      <c r="P13" s="19">
        <f t="shared" si="6"/>
        <v>3332</v>
      </c>
      <c r="Q13" s="20">
        <f t="shared" si="7"/>
        <v>299.88</v>
      </c>
      <c r="R13" s="20"/>
      <c r="S13" s="20">
        <f t="shared" si="8"/>
        <v>299.88</v>
      </c>
      <c r="T13" s="19">
        <f t="shared" si="9"/>
        <v>3631.88</v>
      </c>
      <c r="U13" s="21" t="s">
        <v>2</v>
      </c>
      <c r="V13" s="20">
        <f>+P13*12.93%</f>
        <v>430.82760000000002</v>
      </c>
    </row>
    <row r="14" spans="1:22" ht="15.75">
      <c r="A14" s="47">
        <v>1</v>
      </c>
      <c r="B14" s="48" t="s">
        <v>38</v>
      </c>
      <c r="C14" s="49">
        <v>6</v>
      </c>
      <c r="D14" s="50">
        <v>5</v>
      </c>
      <c r="E14" s="51">
        <v>1899</v>
      </c>
      <c r="F14" s="52">
        <v>104</v>
      </c>
      <c r="G14" s="52"/>
      <c r="H14" s="52"/>
      <c r="I14" s="52"/>
      <c r="J14" s="52"/>
      <c r="K14" s="52"/>
      <c r="L14" s="52"/>
      <c r="M14" s="52"/>
      <c r="N14" s="52"/>
      <c r="O14" s="19">
        <f t="shared" ref="O14:O34" si="10">SUM(E14:N14)</f>
        <v>2003</v>
      </c>
      <c r="P14" s="19">
        <f t="shared" ref="P14:P34" si="11">O14-M14-J14</f>
        <v>2003</v>
      </c>
      <c r="Q14" s="20">
        <f t="shared" ref="Q14:Q34" si="12">P14*9%</f>
        <v>180.26999999999998</v>
      </c>
      <c r="R14" s="20"/>
      <c r="S14" s="20">
        <f t="shared" ref="S14:S34" si="13">Q14+R14</f>
        <v>180.26999999999998</v>
      </c>
      <c r="T14" s="19">
        <f t="shared" ref="T14:T34" si="14">P14+S14</f>
        <v>2183.27</v>
      </c>
      <c r="U14" s="21" t="s">
        <v>19</v>
      </c>
      <c r="V14" s="20">
        <f>200.3+26.64+9.41</f>
        <v>236.35</v>
      </c>
    </row>
    <row r="15" spans="1:22" ht="15.75">
      <c r="A15" s="22">
        <v>2</v>
      </c>
      <c r="B15" s="23" t="s">
        <v>26</v>
      </c>
      <c r="C15" s="17">
        <v>29</v>
      </c>
      <c r="D15" s="18">
        <v>5</v>
      </c>
      <c r="E15" s="19">
        <v>1933.33</v>
      </c>
      <c r="F15" s="20">
        <v>92</v>
      </c>
      <c r="G15" s="20"/>
      <c r="H15" s="20"/>
      <c r="I15" s="20"/>
      <c r="J15" s="20"/>
      <c r="K15" s="20"/>
      <c r="L15" s="20"/>
      <c r="M15" s="20"/>
      <c r="N15" s="20"/>
      <c r="O15" s="19">
        <f t="shared" si="10"/>
        <v>2025.33</v>
      </c>
      <c r="P15" s="19">
        <f t="shared" si="11"/>
        <v>2025.33</v>
      </c>
      <c r="Q15" s="20">
        <f t="shared" si="12"/>
        <v>182.27969999999999</v>
      </c>
      <c r="R15" s="20"/>
      <c r="S15" s="20">
        <f t="shared" si="13"/>
        <v>182.27969999999999</v>
      </c>
      <c r="T15" s="19">
        <f t="shared" si="14"/>
        <v>2207.6097</v>
      </c>
      <c r="U15" s="21" t="s">
        <v>0</v>
      </c>
      <c r="V15" s="20">
        <f>202.53+26.94+29.57</f>
        <v>259.04000000000002</v>
      </c>
    </row>
    <row r="16" spans="1:22" ht="15.75">
      <c r="A16" s="47">
        <v>1</v>
      </c>
      <c r="B16" s="87" t="s">
        <v>58</v>
      </c>
      <c r="C16" s="17"/>
      <c r="D16" s="18"/>
      <c r="E16" s="19"/>
      <c r="F16" s="20"/>
      <c r="G16" s="20"/>
      <c r="H16" s="20"/>
      <c r="I16" s="20"/>
      <c r="J16" s="20"/>
      <c r="K16" s="20"/>
      <c r="L16" s="20"/>
      <c r="M16" s="20"/>
      <c r="N16" s="20"/>
      <c r="O16" s="19"/>
      <c r="P16" s="19"/>
      <c r="Q16" s="20"/>
      <c r="R16" s="20"/>
      <c r="S16" s="20"/>
      <c r="T16" s="19"/>
      <c r="U16" s="21"/>
      <c r="V16" s="20"/>
    </row>
    <row r="17" spans="1:22" ht="15.75">
      <c r="A17" s="22">
        <v>3</v>
      </c>
      <c r="B17" s="23" t="s">
        <v>32</v>
      </c>
      <c r="C17" s="17">
        <v>6</v>
      </c>
      <c r="D17" s="18">
        <v>5</v>
      </c>
      <c r="E17" s="19">
        <v>1899</v>
      </c>
      <c r="F17" s="20">
        <v>104</v>
      </c>
      <c r="G17" s="20"/>
      <c r="H17" s="20"/>
      <c r="I17" s="20"/>
      <c r="J17" s="20"/>
      <c r="K17" s="20"/>
      <c r="L17" s="20"/>
      <c r="M17" s="20"/>
      <c r="N17" s="20"/>
      <c r="O17" s="19">
        <f t="shared" si="10"/>
        <v>2003</v>
      </c>
      <c r="P17" s="19">
        <f t="shared" si="11"/>
        <v>2003</v>
      </c>
      <c r="Q17" s="20">
        <f t="shared" si="12"/>
        <v>180.26999999999998</v>
      </c>
      <c r="R17" s="20"/>
      <c r="S17" s="20">
        <f t="shared" si="13"/>
        <v>180.26999999999998</v>
      </c>
      <c r="T17" s="19">
        <f t="shared" si="14"/>
        <v>2183.27</v>
      </c>
      <c r="U17" s="21" t="s">
        <v>19</v>
      </c>
      <c r="V17" s="20">
        <f>200.3+26.64+9.41</f>
        <v>236.35</v>
      </c>
    </row>
    <row r="18" spans="1:22" ht="16.5" thickBot="1">
      <c r="A18" s="53">
        <v>1</v>
      </c>
      <c r="B18" s="54" t="s">
        <v>20</v>
      </c>
      <c r="C18" s="55">
        <v>57</v>
      </c>
      <c r="D18" s="56">
        <v>5</v>
      </c>
      <c r="E18" s="57">
        <v>2121</v>
      </c>
      <c r="F18" s="58">
        <v>96</v>
      </c>
      <c r="G18" s="58"/>
      <c r="H18" s="58"/>
      <c r="I18" s="58"/>
      <c r="J18" s="58"/>
      <c r="K18" s="58"/>
      <c r="L18" s="58"/>
      <c r="M18" s="58"/>
      <c r="N18" s="58"/>
      <c r="O18" s="19">
        <f t="shared" si="10"/>
        <v>2217</v>
      </c>
      <c r="P18" s="19">
        <f t="shared" si="11"/>
        <v>2217</v>
      </c>
      <c r="Q18" s="20">
        <f t="shared" si="12"/>
        <v>199.53</v>
      </c>
      <c r="R18" s="20"/>
      <c r="S18" s="20">
        <f t="shared" si="13"/>
        <v>199.53</v>
      </c>
      <c r="T18" s="19">
        <f t="shared" si="14"/>
        <v>2416.5300000000002</v>
      </c>
      <c r="U18" s="21" t="s">
        <v>19</v>
      </c>
      <c r="V18" s="20">
        <f>222.1+29.54+10.42</f>
        <v>262.06</v>
      </c>
    </row>
    <row r="19" spans="1:22" ht="15.75">
      <c r="A19" s="47">
        <v>1</v>
      </c>
      <c r="B19" s="48" t="s">
        <v>47</v>
      </c>
      <c r="C19" s="49">
        <v>18</v>
      </c>
      <c r="D19" s="50">
        <v>5</v>
      </c>
      <c r="E19" s="51">
        <v>1848</v>
      </c>
      <c r="F19" s="52">
        <f>92+123.2+184.8+61.6</f>
        <v>461.6</v>
      </c>
      <c r="G19" s="52"/>
      <c r="H19" s="52"/>
      <c r="I19" s="52"/>
      <c r="J19" s="52"/>
      <c r="K19" s="52"/>
      <c r="L19" s="52"/>
      <c r="M19" s="52">
        <v>92</v>
      </c>
      <c r="N19" s="52"/>
      <c r="O19" s="19">
        <f t="shared" si="10"/>
        <v>2401.6</v>
      </c>
      <c r="P19" s="19">
        <f t="shared" si="11"/>
        <v>2309.6</v>
      </c>
      <c r="Q19" s="20">
        <f t="shared" si="12"/>
        <v>207.86399999999998</v>
      </c>
      <c r="R19" s="20"/>
      <c r="S19" s="20">
        <f t="shared" si="13"/>
        <v>207.86399999999998</v>
      </c>
      <c r="T19" s="19">
        <f t="shared" si="14"/>
        <v>2517.4639999999999</v>
      </c>
      <c r="U19" s="21" t="s">
        <v>19</v>
      </c>
      <c r="V19" s="20">
        <f>230.96+30.72+10.86</f>
        <v>272.54000000000002</v>
      </c>
    </row>
    <row r="20" spans="1:22" ht="15.75">
      <c r="A20" s="22">
        <v>2</v>
      </c>
      <c r="B20" s="23" t="s">
        <v>27</v>
      </c>
      <c r="C20" s="17">
        <v>29</v>
      </c>
      <c r="D20" s="18">
        <v>5</v>
      </c>
      <c r="E20" s="19">
        <v>1899</v>
      </c>
      <c r="F20" s="20">
        <v>75</v>
      </c>
      <c r="G20" s="20"/>
      <c r="H20" s="20"/>
      <c r="I20" s="20"/>
      <c r="J20" s="20"/>
      <c r="K20" s="20"/>
      <c r="L20" s="20"/>
      <c r="M20" s="20"/>
      <c r="N20" s="20"/>
      <c r="O20" s="19">
        <f t="shared" si="10"/>
        <v>1974</v>
      </c>
      <c r="P20" s="19">
        <f t="shared" si="11"/>
        <v>1974</v>
      </c>
      <c r="Q20" s="20">
        <f t="shared" si="12"/>
        <v>177.66</v>
      </c>
      <c r="R20" s="20"/>
      <c r="S20" s="20">
        <f t="shared" si="13"/>
        <v>177.66</v>
      </c>
      <c r="T20" s="19">
        <f t="shared" si="14"/>
        <v>2151.66</v>
      </c>
      <c r="U20" s="21" t="s">
        <v>18</v>
      </c>
      <c r="V20" s="20">
        <f>+P20*12.88%</f>
        <v>254.25119999999998</v>
      </c>
    </row>
    <row r="21" spans="1:22" ht="15.75">
      <c r="A21" s="22">
        <v>1</v>
      </c>
      <c r="B21" s="23" t="s">
        <v>25</v>
      </c>
      <c r="C21" s="17">
        <v>19</v>
      </c>
      <c r="D21" s="18">
        <v>5</v>
      </c>
      <c r="E21" s="19">
        <v>1666</v>
      </c>
      <c r="F21" s="20">
        <f>75+88+232.13+174.1+116.07</f>
        <v>685.3</v>
      </c>
      <c r="G21" s="20"/>
      <c r="H21" s="20"/>
      <c r="I21" s="20"/>
      <c r="J21" s="20"/>
      <c r="K21" s="20"/>
      <c r="L21" s="20"/>
      <c r="M21" s="20">
        <v>80.5</v>
      </c>
      <c r="N21" s="20"/>
      <c r="O21" s="19">
        <f t="shared" si="10"/>
        <v>2431.8000000000002</v>
      </c>
      <c r="P21" s="19">
        <f t="shared" si="11"/>
        <v>2351.3000000000002</v>
      </c>
      <c r="Q21" s="20">
        <f t="shared" si="12"/>
        <v>211.61700000000002</v>
      </c>
      <c r="R21" s="20"/>
      <c r="S21" s="20">
        <f t="shared" si="13"/>
        <v>211.61700000000002</v>
      </c>
      <c r="T21" s="19">
        <f t="shared" si="14"/>
        <v>2562.9170000000004</v>
      </c>
      <c r="U21" s="21" t="s">
        <v>2</v>
      </c>
      <c r="V21" s="20">
        <f>+P21*12.93%</f>
        <v>304.02309000000002</v>
      </c>
    </row>
    <row r="22" spans="1:22" ht="15.75">
      <c r="A22" s="22">
        <v>2</v>
      </c>
      <c r="B22" s="23" t="s">
        <v>44</v>
      </c>
      <c r="C22" s="17">
        <v>10</v>
      </c>
      <c r="D22" s="18">
        <v>5</v>
      </c>
      <c r="E22" s="19">
        <v>1666</v>
      </c>
      <c r="F22" s="20">
        <f>75+92+116.07+174.1+58.03</f>
        <v>515.19999999999993</v>
      </c>
      <c r="G22" s="20"/>
      <c r="H22" s="20"/>
      <c r="I22" s="20"/>
      <c r="J22" s="20"/>
      <c r="K22" s="20"/>
      <c r="L22" s="20"/>
      <c r="M22" s="20">
        <v>92</v>
      </c>
      <c r="N22" s="20"/>
      <c r="O22" s="19">
        <f t="shared" si="10"/>
        <v>2273.1999999999998</v>
      </c>
      <c r="P22" s="19">
        <f t="shared" si="11"/>
        <v>2181.1999999999998</v>
      </c>
      <c r="Q22" s="20">
        <f t="shared" si="12"/>
        <v>196.30799999999996</v>
      </c>
      <c r="R22" s="20"/>
      <c r="S22" s="20">
        <f t="shared" si="13"/>
        <v>196.30799999999996</v>
      </c>
      <c r="T22" s="19">
        <f t="shared" si="14"/>
        <v>2377.5079999999998</v>
      </c>
      <c r="U22" s="21" t="s">
        <v>1</v>
      </c>
      <c r="V22" s="20">
        <f>+P22*13%</f>
        <v>283.55599999999998</v>
      </c>
    </row>
    <row r="23" spans="1:22" ht="15.75">
      <c r="A23" s="22">
        <v>3</v>
      </c>
      <c r="B23" s="23" t="s">
        <v>11</v>
      </c>
      <c r="C23" s="17">
        <v>29</v>
      </c>
      <c r="D23" s="18">
        <v>5</v>
      </c>
      <c r="E23" s="19">
        <v>1899</v>
      </c>
      <c r="F23" s="20">
        <f>75+104+50</f>
        <v>229</v>
      </c>
      <c r="G23" s="20"/>
      <c r="H23" s="20"/>
      <c r="I23" s="20"/>
      <c r="J23" s="20"/>
      <c r="K23" s="20"/>
      <c r="L23" s="20"/>
      <c r="M23" s="20"/>
      <c r="N23" s="20"/>
      <c r="O23" s="19">
        <f t="shared" si="10"/>
        <v>2128</v>
      </c>
      <c r="P23" s="19">
        <f t="shared" si="11"/>
        <v>2128</v>
      </c>
      <c r="Q23" s="20">
        <f t="shared" si="12"/>
        <v>191.51999999999998</v>
      </c>
      <c r="R23" s="20"/>
      <c r="S23" s="20">
        <f t="shared" si="13"/>
        <v>191.51999999999998</v>
      </c>
      <c r="T23" s="19">
        <f t="shared" si="14"/>
        <v>2319.52</v>
      </c>
      <c r="U23" s="21" t="s">
        <v>18</v>
      </c>
      <c r="V23" s="20">
        <f>212.8+28.3+26.17</f>
        <v>267.27000000000004</v>
      </c>
    </row>
    <row r="24" spans="1:22" ht="15.75">
      <c r="A24" s="22">
        <v>3</v>
      </c>
      <c r="B24" s="23" t="s">
        <v>45</v>
      </c>
      <c r="C24" s="17">
        <v>30</v>
      </c>
      <c r="D24" s="18">
        <v>5</v>
      </c>
      <c r="E24" s="19">
        <v>1666</v>
      </c>
      <c r="F24" s="20">
        <f>75+100</f>
        <v>175</v>
      </c>
      <c r="G24" s="20">
        <v>150</v>
      </c>
      <c r="H24" s="20"/>
      <c r="I24" s="20"/>
      <c r="J24" s="20"/>
      <c r="K24" s="20"/>
      <c r="L24" s="20"/>
      <c r="M24" s="20"/>
      <c r="N24" s="20"/>
      <c r="O24" s="19">
        <f t="shared" si="10"/>
        <v>1991</v>
      </c>
      <c r="P24" s="19">
        <f t="shared" si="11"/>
        <v>1991</v>
      </c>
      <c r="Q24" s="20">
        <f t="shared" si="12"/>
        <v>179.19</v>
      </c>
      <c r="R24" s="20"/>
      <c r="S24" s="20">
        <f t="shared" si="13"/>
        <v>179.19</v>
      </c>
      <c r="T24" s="19">
        <f t="shared" si="14"/>
        <v>2170.19</v>
      </c>
      <c r="U24" s="21" t="s">
        <v>18</v>
      </c>
      <c r="V24" s="20">
        <f>+P24*12.88%</f>
        <v>256.44079999999997</v>
      </c>
    </row>
    <row r="25" spans="1:22" ht="15.75">
      <c r="A25" s="22">
        <v>4</v>
      </c>
      <c r="B25" s="23" t="s">
        <v>46</v>
      </c>
      <c r="C25" s="17">
        <v>49</v>
      </c>
      <c r="D25" s="18">
        <v>5</v>
      </c>
      <c r="E25" s="19">
        <v>1848</v>
      </c>
      <c r="F25" s="20">
        <f>75+104+256.4+64.1+128.2</f>
        <v>627.70000000000005</v>
      </c>
      <c r="G25" s="20">
        <v>150</v>
      </c>
      <c r="H25" s="20"/>
      <c r="I25" s="20"/>
      <c r="J25" s="20"/>
      <c r="K25" s="20"/>
      <c r="L25" s="20"/>
      <c r="M25" s="20">
        <v>46</v>
      </c>
      <c r="N25" s="20"/>
      <c r="O25" s="19">
        <f t="shared" si="10"/>
        <v>2671.7</v>
      </c>
      <c r="P25" s="19">
        <f t="shared" si="11"/>
        <v>2625.7</v>
      </c>
      <c r="Q25" s="20">
        <f t="shared" si="12"/>
        <v>236.31299999999999</v>
      </c>
      <c r="R25" s="20"/>
      <c r="S25" s="20">
        <f t="shared" si="13"/>
        <v>236.31299999999999</v>
      </c>
      <c r="T25" s="19">
        <f t="shared" si="14"/>
        <v>2862.0129999999999</v>
      </c>
      <c r="U25" s="21" t="s">
        <v>18</v>
      </c>
      <c r="V25" s="20">
        <f>+P25*12.88%</f>
        <v>338.19015999999999</v>
      </c>
    </row>
    <row r="26" spans="1:22" ht="15.75">
      <c r="A26" s="22">
        <v>5</v>
      </c>
      <c r="B26" s="23" t="s">
        <v>41</v>
      </c>
      <c r="C26" s="17">
        <v>21</v>
      </c>
      <c r="D26" s="18">
        <v>5</v>
      </c>
      <c r="E26" s="19">
        <v>1848</v>
      </c>
      <c r="F26" s="20">
        <f>92+246.4+184.8+123.2</f>
        <v>646.40000000000009</v>
      </c>
      <c r="G26" s="20"/>
      <c r="H26" s="20"/>
      <c r="I26" s="20"/>
      <c r="J26" s="20"/>
      <c r="K26" s="20"/>
      <c r="L26" s="20"/>
      <c r="M26" s="20">
        <v>80.5</v>
      </c>
      <c r="N26" s="20"/>
      <c r="O26" s="19">
        <f t="shared" si="10"/>
        <v>2574.9</v>
      </c>
      <c r="P26" s="19">
        <f t="shared" si="11"/>
        <v>2494.4</v>
      </c>
      <c r="Q26" s="20">
        <f t="shared" si="12"/>
        <v>224.49600000000001</v>
      </c>
      <c r="R26" s="20"/>
      <c r="S26" s="20">
        <f t="shared" si="13"/>
        <v>224.49600000000001</v>
      </c>
      <c r="T26" s="19">
        <f t="shared" si="14"/>
        <v>2718.8960000000002</v>
      </c>
      <c r="U26" s="21" t="s">
        <v>0</v>
      </c>
      <c r="V26" s="20">
        <f>+P26*13.02%</f>
        <v>324.77087999999998</v>
      </c>
    </row>
    <row r="27" spans="1:22" ht="15.75">
      <c r="A27" s="22">
        <v>5</v>
      </c>
      <c r="B27" s="23" t="s">
        <v>13</v>
      </c>
      <c r="C27" s="17">
        <v>3</v>
      </c>
      <c r="D27" s="18">
        <v>5</v>
      </c>
      <c r="E27" s="19">
        <v>1666</v>
      </c>
      <c r="F27" s="20">
        <f>75+104+50</f>
        <v>229</v>
      </c>
      <c r="G27" s="20"/>
      <c r="H27" s="20"/>
      <c r="I27" s="20"/>
      <c r="J27" s="20"/>
      <c r="K27" s="20"/>
      <c r="L27" s="20"/>
      <c r="M27" s="20"/>
      <c r="N27" s="20"/>
      <c r="O27" s="19">
        <f t="shared" si="10"/>
        <v>1895</v>
      </c>
      <c r="P27" s="19">
        <f t="shared" si="11"/>
        <v>1895</v>
      </c>
      <c r="Q27" s="20">
        <f t="shared" si="12"/>
        <v>170.54999999999998</v>
      </c>
      <c r="R27" s="20"/>
      <c r="S27" s="20">
        <f t="shared" si="13"/>
        <v>170.54999999999998</v>
      </c>
      <c r="T27" s="19">
        <f t="shared" si="14"/>
        <v>2065.5500000000002</v>
      </c>
      <c r="U27" s="21" t="s">
        <v>0</v>
      </c>
      <c r="V27" s="20">
        <f>+P27*13.02%</f>
        <v>246.72899999999996</v>
      </c>
    </row>
    <row r="28" spans="1:22" ht="15.75">
      <c r="A28" s="22">
        <v>4</v>
      </c>
      <c r="B28" s="23" t="s">
        <v>40</v>
      </c>
      <c r="C28" s="17">
        <v>25</v>
      </c>
      <c r="D28" s="18">
        <v>5</v>
      </c>
      <c r="E28" s="19">
        <v>1848</v>
      </c>
      <c r="F28" s="20">
        <f>75+92</f>
        <v>167</v>
      </c>
      <c r="G28" s="20"/>
      <c r="H28" s="20"/>
      <c r="I28" s="20"/>
      <c r="J28" s="20"/>
      <c r="K28" s="20"/>
      <c r="L28" s="20"/>
      <c r="M28" s="20"/>
      <c r="N28" s="20"/>
      <c r="O28" s="19">
        <f t="shared" si="10"/>
        <v>2015</v>
      </c>
      <c r="P28" s="19">
        <f t="shared" si="11"/>
        <v>2015</v>
      </c>
      <c r="Q28" s="20">
        <f t="shared" si="12"/>
        <v>181.35</v>
      </c>
      <c r="R28" s="20"/>
      <c r="S28" s="20">
        <f t="shared" si="13"/>
        <v>181.35</v>
      </c>
      <c r="T28" s="19">
        <f t="shared" si="14"/>
        <v>2196.35</v>
      </c>
      <c r="U28" s="21" t="s">
        <v>0</v>
      </c>
      <c r="V28" s="20">
        <f>+P28*13.02%</f>
        <v>262.35299999999995</v>
      </c>
    </row>
    <row r="29" spans="1:22" ht="15.75">
      <c r="A29" s="22">
        <v>7</v>
      </c>
      <c r="B29" s="23" t="s">
        <v>30</v>
      </c>
      <c r="C29" s="17">
        <v>21</v>
      </c>
      <c r="D29" s="18">
        <v>5</v>
      </c>
      <c r="E29" s="19">
        <v>1848</v>
      </c>
      <c r="F29" s="20">
        <f>88+123.2</f>
        <v>211.2</v>
      </c>
      <c r="G29" s="20"/>
      <c r="H29" s="20"/>
      <c r="I29" s="20"/>
      <c r="J29" s="20"/>
      <c r="K29" s="20"/>
      <c r="L29" s="20"/>
      <c r="M29" s="20">
        <v>34.5</v>
      </c>
      <c r="N29" s="20"/>
      <c r="O29" s="19">
        <f t="shared" si="10"/>
        <v>2093.6999999999998</v>
      </c>
      <c r="P29" s="19">
        <f t="shared" si="11"/>
        <v>2059.1999999999998</v>
      </c>
      <c r="Q29" s="20">
        <f t="shared" si="12"/>
        <v>185.32799999999997</v>
      </c>
      <c r="R29" s="20"/>
      <c r="S29" s="20">
        <f t="shared" si="13"/>
        <v>185.32799999999997</v>
      </c>
      <c r="T29" s="19">
        <f t="shared" si="14"/>
        <v>2244.5279999999998</v>
      </c>
      <c r="U29" s="21" t="s">
        <v>18</v>
      </c>
      <c r="V29" s="20">
        <f>+P29*12.88%</f>
        <v>265.22495999999995</v>
      </c>
    </row>
    <row r="30" spans="1:22" ht="15.75">
      <c r="A30" s="22">
        <v>6</v>
      </c>
      <c r="B30" s="23" t="s">
        <v>14</v>
      </c>
      <c r="C30" s="17">
        <v>40</v>
      </c>
      <c r="D30" s="18">
        <v>5</v>
      </c>
      <c r="E30" s="19">
        <v>1951</v>
      </c>
      <c r="F30" s="20">
        <f>75+84+135.07+202.6+67.53</f>
        <v>564.19999999999993</v>
      </c>
      <c r="G30" s="20"/>
      <c r="H30" s="20"/>
      <c r="I30" s="20"/>
      <c r="J30" s="20"/>
      <c r="K30" s="20"/>
      <c r="L30" s="20"/>
      <c r="M30" s="20">
        <v>92</v>
      </c>
      <c r="N30" s="20"/>
      <c r="O30" s="19">
        <f t="shared" si="10"/>
        <v>2607.1999999999998</v>
      </c>
      <c r="P30" s="19">
        <f t="shared" si="11"/>
        <v>2515.1999999999998</v>
      </c>
      <c r="Q30" s="20">
        <f t="shared" si="12"/>
        <v>226.36799999999997</v>
      </c>
      <c r="R30" s="20"/>
      <c r="S30" s="20">
        <f t="shared" si="13"/>
        <v>226.36799999999997</v>
      </c>
      <c r="T30" s="19">
        <f t="shared" si="14"/>
        <v>2741.5679999999998</v>
      </c>
      <c r="U30" s="21" t="s">
        <v>0</v>
      </c>
      <c r="V30" s="20">
        <f>+P30*13.02%</f>
        <v>327.47903999999994</v>
      </c>
    </row>
    <row r="31" spans="1:22" ht="15.75">
      <c r="A31" s="22">
        <v>8</v>
      </c>
      <c r="B31" s="23" t="s">
        <v>42</v>
      </c>
      <c r="C31" s="17">
        <v>16</v>
      </c>
      <c r="D31" s="18">
        <v>5</v>
      </c>
      <c r="E31" s="19">
        <v>1848</v>
      </c>
      <c r="F31" s="20">
        <v>104</v>
      </c>
      <c r="G31" s="20"/>
      <c r="H31" s="20"/>
      <c r="I31" s="20"/>
      <c r="J31" s="20"/>
      <c r="K31" s="20"/>
      <c r="L31" s="20"/>
      <c r="M31" s="20"/>
      <c r="N31" s="20"/>
      <c r="O31" s="19">
        <f t="shared" si="10"/>
        <v>1952</v>
      </c>
      <c r="P31" s="19">
        <f t="shared" si="11"/>
        <v>1952</v>
      </c>
      <c r="Q31" s="20">
        <f t="shared" si="12"/>
        <v>175.68</v>
      </c>
      <c r="R31" s="20"/>
      <c r="S31" s="20">
        <f t="shared" si="13"/>
        <v>175.68</v>
      </c>
      <c r="T31" s="19">
        <f t="shared" si="14"/>
        <v>2127.6799999999998</v>
      </c>
      <c r="U31" s="21" t="s">
        <v>0</v>
      </c>
      <c r="V31" s="20">
        <f>195.2+25.96+28.5</f>
        <v>249.66</v>
      </c>
    </row>
    <row r="32" spans="1:22" ht="15.75">
      <c r="A32" s="22">
        <v>6</v>
      </c>
      <c r="B32" s="23" t="s">
        <v>15</v>
      </c>
      <c r="C32" s="17">
        <v>10</v>
      </c>
      <c r="D32" s="18">
        <v>5</v>
      </c>
      <c r="E32" s="19">
        <v>1666</v>
      </c>
      <c r="F32" s="20">
        <f>75+88+116.07+174.1+58.03</f>
        <v>511.19999999999993</v>
      </c>
      <c r="G32" s="20"/>
      <c r="H32" s="20"/>
      <c r="I32" s="20"/>
      <c r="J32" s="20"/>
      <c r="K32" s="20"/>
      <c r="L32" s="20"/>
      <c r="M32" s="20">
        <v>92</v>
      </c>
      <c r="N32" s="20"/>
      <c r="O32" s="19">
        <f t="shared" si="10"/>
        <v>2269.1999999999998</v>
      </c>
      <c r="P32" s="19">
        <f t="shared" si="11"/>
        <v>2177.1999999999998</v>
      </c>
      <c r="Q32" s="20">
        <f t="shared" si="12"/>
        <v>195.94799999999998</v>
      </c>
      <c r="R32" s="20"/>
      <c r="S32" s="20">
        <f t="shared" si="13"/>
        <v>195.94799999999998</v>
      </c>
      <c r="T32" s="19">
        <f t="shared" si="14"/>
        <v>2373.1479999999997</v>
      </c>
      <c r="U32" s="21" t="s">
        <v>18</v>
      </c>
      <c r="V32" s="20">
        <f>217.72+28.96+26.78</f>
        <v>273.46000000000004</v>
      </c>
    </row>
    <row r="33" spans="1:22" ht="15.75">
      <c r="A33" s="22">
        <v>9</v>
      </c>
      <c r="B33" s="23" t="s">
        <v>50</v>
      </c>
      <c r="C33" s="17">
        <v>29</v>
      </c>
      <c r="D33" s="18">
        <v>5</v>
      </c>
      <c r="E33" s="19">
        <v>1848</v>
      </c>
      <c r="F33" s="20">
        <f>75+88+256.4+192.3+128.2</f>
        <v>739.90000000000009</v>
      </c>
      <c r="G33" s="20"/>
      <c r="H33" s="20"/>
      <c r="I33" s="20"/>
      <c r="J33" s="20"/>
      <c r="K33" s="20"/>
      <c r="L33" s="20"/>
      <c r="M33" s="20">
        <v>80.5</v>
      </c>
      <c r="N33" s="20"/>
      <c r="O33" s="19">
        <f t="shared" si="10"/>
        <v>2668.4</v>
      </c>
      <c r="P33" s="19">
        <f t="shared" si="11"/>
        <v>2587.9</v>
      </c>
      <c r="Q33" s="20">
        <f t="shared" si="12"/>
        <v>232.911</v>
      </c>
      <c r="R33" s="20"/>
      <c r="S33" s="20">
        <f t="shared" si="13"/>
        <v>232.911</v>
      </c>
      <c r="T33" s="19">
        <f t="shared" si="14"/>
        <v>2820.8110000000001</v>
      </c>
      <c r="U33" s="21" t="s">
        <v>1</v>
      </c>
      <c r="V33" s="20">
        <f>+P33*13%</f>
        <v>336.42700000000002</v>
      </c>
    </row>
    <row r="34" spans="1:22" ht="15.75">
      <c r="A34" s="22">
        <v>10</v>
      </c>
      <c r="B34" s="23" t="s">
        <v>23</v>
      </c>
      <c r="C34" s="17">
        <v>28</v>
      </c>
      <c r="D34" s="18">
        <v>5</v>
      </c>
      <c r="E34" s="19">
        <v>1899</v>
      </c>
      <c r="F34" s="20">
        <f>75+131.6+104+65.8+50</f>
        <v>426.40000000000003</v>
      </c>
      <c r="G34" s="20"/>
      <c r="H34" s="20"/>
      <c r="I34" s="20"/>
      <c r="J34" s="20"/>
      <c r="K34" s="20"/>
      <c r="L34" s="20"/>
      <c r="M34" s="20"/>
      <c r="N34" s="20"/>
      <c r="O34" s="19">
        <f t="shared" si="10"/>
        <v>2325.4</v>
      </c>
      <c r="P34" s="19">
        <f t="shared" si="11"/>
        <v>2325.4</v>
      </c>
      <c r="Q34" s="20">
        <f t="shared" si="12"/>
        <v>209.286</v>
      </c>
      <c r="R34" s="20"/>
      <c r="S34" s="20">
        <f t="shared" si="13"/>
        <v>209.286</v>
      </c>
      <c r="T34" s="19">
        <f t="shared" si="14"/>
        <v>2534.6860000000001</v>
      </c>
      <c r="U34" s="21" t="s">
        <v>18</v>
      </c>
      <c r="V34" s="20">
        <f>+P34*12.88%</f>
        <v>299.51152000000002</v>
      </c>
    </row>
  </sheetData>
  <sortState ref="A16:V31">
    <sortCondition ref="B16"/>
  </sortState>
  <pageMargins left="0.56000000000000005" right="0.15748031496062992" top="0.55118110236220474" bottom="0.74803149606299213" header="0.15748031496062992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34"/>
  <sheetViews>
    <sheetView workbookViewId="0">
      <selection activeCell="A2" sqref="A2:B2"/>
    </sheetView>
  </sheetViews>
  <sheetFormatPr baseColWidth="10" defaultRowHeight="15"/>
  <cols>
    <col min="1" max="1" width="2.85546875" customWidth="1"/>
    <col min="2" max="2" width="25.28515625" customWidth="1"/>
    <col min="3" max="3" width="3.85546875" customWidth="1"/>
    <col min="4" max="4" width="4" customWidth="1"/>
    <col min="5" max="5" width="9.5703125" customWidth="1"/>
    <col min="6" max="7" width="8.5703125" customWidth="1"/>
    <col min="8" max="8" width="6.28515625" customWidth="1"/>
    <col min="9" max="9" width="6" customWidth="1"/>
    <col min="10" max="10" width="6.140625" customWidth="1"/>
    <col min="11" max="11" width="8.28515625" customWidth="1"/>
    <col min="12" max="12" width="5.85546875" customWidth="1"/>
    <col min="13" max="13" width="7.140625" customWidth="1"/>
    <col min="14" max="14" width="8.42578125" customWidth="1"/>
    <col min="15" max="15" width="9.28515625" customWidth="1"/>
    <col min="16" max="16" width="9.140625" customWidth="1"/>
    <col min="17" max="17" width="8.140625" customWidth="1"/>
    <col min="18" max="18" width="6.28515625" customWidth="1"/>
    <col min="19" max="19" width="8.42578125" customWidth="1"/>
    <col min="20" max="20" width="9.5703125" customWidth="1"/>
    <col min="21" max="21" width="7.42578125" customWidth="1"/>
    <col min="22" max="22" width="8.5703125" customWidth="1"/>
  </cols>
  <sheetData>
    <row r="1" spans="1:22" ht="15.75">
      <c r="A1" s="63">
        <v>1</v>
      </c>
      <c r="B1" s="64" t="s">
        <v>33</v>
      </c>
      <c r="C1" s="24">
        <v>181</v>
      </c>
      <c r="D1" s="25">
        <v>5</v>
      </c>
      <c r="E1" s="26">
        <v>2241</v>
      </c>
      <c r="F1" s="27"/>
      <c r="G1" s="27"/>
      <c r="H1" s="27"/>
      <c r="I1" s="27"/>
      <c r="J1" s="27"/>
      <c r="K1" s="27"/>
      <c r="L1" s="27"/>
      <c r="M1" s="27"/>
      <c r="N1" s="27">
        <v>1054</v>
      </c>
      <c r="O1" s="19">
        <f>SUM(E1:N1)</f>
        <v>3295</v>
      </c>
      <c r="P1" s="19">
        <f>O1-M1-J1</f>
        <v>3295</v>
      </c>
      <c r="Q1" s="20">
        <f>P1*9%</f>
        <v>296.55</v>
      </c>
      <c r="R1" s="20"/>
      <c r="S1" s="20">
        <f>Q1+R1</f>
        <v>296.55</v>
      </c>
      <c r="T1" s="19">
        <f>P1+S1</f>
        <v>3591.55</v>
      </c>
      <c r="U1" s="21" t="s">
        <v>0</v>
      </c>
      <c r="V1" s="20">
        <f>+P1*13.02%</f>
        <v>429.00899999999996</v>
      </c>
    </row>
    <row r="2" spans="1:22" ht="16.5" thickBot="1">
      <c r="A2" s="53">
        <v>1</v>
      </c>
      <c r="B2" s="54" t="s">
        <v>56</v>
      </c>
      <c r="C2" s="49"/>
      <c r="D2" s="50"/>
      <c r="E2" s="51"/>
      <c r="F2" s="52"/>
      <c r="G2" s="52"/>
      <c r="H2" s="52"/>
      <c r="I2" s="52"/>
      <c r="J2" s="52"/>
      <c r="K2" s="52"/>
      <c r="L2" s="52"/>
      <c r="M2" s="52"/>
      <c r="N2" s="52"/>
      <c r="O2" s="19"/>
      <c r="P2" s="19"/>
      <c r="Q2" s="20"/>
      <c r="R2" s="20"/>
      <c r="S2" s="20"/>
      <c r="T2" s="19"/>
      <c r="U2" s="21"/>
      <c r="V2" s="20"/>
    </row>
    <row r="3" spans="1:22" ht="15.75">
      <c r="A3" s="75">
        <v>1</v>
      </c>
      <c r="B3" s="76" t="s">
        <v>3</v>
      </c>
      <c r="C3" s="77">
        <v>85</v>
      </c>
      <c r="D3" s="78">
        <v>5</v>
      </c>
      <c r="E3" s="79">
        <v>2241</v>
      </c>
      <c r="F3" s="80">
        <v>75</v>
      </c>
      <c r="G3" s="80">
        <v>250</v>
      </c>
      <c r="H3" s="80"/>
      <c r="I3" s="80"/>
      <c r="J3" s="80"/>
      <c r="K3" s="80"/>
      <c r="L3" s="80"/>
      <c r="M3" s="80"/>
      <c r="N3" s="80"/>
      <c r="O3" s="19">
        <f>SUM(E3:N3)</f>
        <v>2566</v>
      </c>
      <c r="P3" s="19">
        <f>O3-M3-J3</f>
        <v>2566</v>
      </c>
      <c r="Q3" s="20">
        <f>P3*9%</f>
        <v>230.94</v>
      </c>
      <c r="R3" s="20"/>
      <c r="S3" s="20">
        <f>Q3+R3</f>
        <v>230.94</v>
      </c>
      <c r="T3" s="19">
        <f>P3+S3</f>
        <v>2796.94</v>
      </c>
      <c r="U3" s="21" t="s">
        <v>2</v>
      </c>
      <c r="V3" s="20">
        <f>+P3*12.93%</f>
        <v>331.78379999999999</v>
      </c>
    </row>
    <row r="4" spans="1:22" ht="16.5" thickBot="1">
      <c r="A4" s="73">
        <v>2</v>
      </c>
      <c r="B4" s="74" t="s">
        <v>56</v>
      </c>
      <c r="C4" s="59"/>
      <c r="D4" s="60"/>
      <c r="E4" s="61"/>
      <c r="F4" s="62"/>
      <c r="G4" s="62"/>
      <c r="H4" s="62"/>
      <c r="I4" s="62"/>
      <c r="J4" s="62"/>
      <c r="K4" s="62"/>
      <c r="L4" s="62"/>
      <c r="M4" s="62"/>
      <c r="N4" s="62"/>
      <c r="O4" s="19"/>
      <c r="P4" s="19"/>
      <c r="Q4" s="20"/>
      <c r="R4" s="20"/>
      <c r="S4" s="20"/>
      <c r="T4" s="19"/>
      <c r="U4" s="21"/>
      <c r="V4" s="20"/>
    </row>
    <row r="5" spans="1:22" ht="15.75">
      <c r="A5" s="47">
        <v>1</v>
      </c>
      <c r="B5" s="48" t="s">
        <v>51</v>
      </c>
      <c r="C5" s="49">
        <v>42</v>
      </c>
      <c r="D5" s="50">
        <v>5</v>
      </c>
      <c r="E5" s="51">
        <v>1789</v>
      </c>
      <c r="F5" s="52">
        <v>75</v>
      </c>
      <c r="G5" s="52">
        <v>150</v>
      </c>
      <c r="H5" s="52"/>
      <c r="I5" s="52"/>
      <c r="J5" s="52"/>
      <c r="K5" s="52"/>
      <c r="L5" s="52"/>
      <c r="M5" s="52"/>
      <c r="N5" s="52">
        <v>110</v>
      </c>
      <c r="O5" s="19">
        <f>SUM(E5:N5)</f>
        <v>2124</v>
      </c>
      <c r="P5" s="19">
        <f>O5-M5-J5</f>
        <v>2124</v>
      </c>
      <c r="Q5" s="20">
        <f>P5*9%</f>
        <v>191.16</v>
      </c>
      <c r="R5" s="20"/>
      <c r="S5" s="20">
        <f>Q5+R5</f>
        <v>191.16</v>
      </c>
      <c r="T5" s="19">
        <f>P5+S5</f>
        <v>2315.16</v>
      </c>
      <c r="U5" s="21" t="s">
        <v>0</v>
      </c>
      <c r="V5" s="20">
        <f>+P5*13.02%</f>
        <v>276.54479999999995</v>
      </c>
    </row>
    <row r="6" spans="1:22" ht="16.5" thickBot="1">
      <c r="A6" s="73">
        <v>2</v>
      </c>
      <c r="B6" s="74" t="s">
        <v>24</v>
      </c>
      <c r="C6" s="59"/>
      <c r="D6" s="60"/>
      <c r="E6" s="61"/>
      <c r="F6" s="62"/>
      <c r="G6" s="62"/>
      <c r="H6" s="62"/>
      <c r="I6" s="62"/>
      <c r="J6" s="62"/>
      <c r="K6" s="62"/>
      <c r="L6" s="62"/>
      <c r="M6" s="62"/>
      <c r="N6" s="62"/>
      <c r="O6" s="19"/>
      <c r="P6" s="19"/>
      <c r="Q6" s="20"/>
      <c r="R6" s="20"/>
      <c r="S6" s="20"/>
      <c r="T6" s="19"/>
      <c r="U6" s="21"/>
      <c r="V6" s="20"/>
    </row>
    <row r="7" spans="1:22" ht="15.75">
      <c r="A7" s="47">
        <v>1</v>
      </c>
      <c r="B7" s="48" t="s">
        <v>5</v>
      </c>
      <c r="C7" s="49">
        <v>69</v>
      </c>
      <c r="D7" s="50">
        <v>5</v>
      </c>
      <c r="E7" s="51">
        <v>1899</v>
      </c>
      <c r="F7" s="52">
        <f>75+104+50</f>
        <v>229</v>
      </c>
      <c r="G7" s="52">
        <v>300</v>
      </c>
      <c r="H7" s="52"/>
      <c r="I7" s="52">
        <v>18.55</v>
      </c>
      <c r="J7" s="52"/>
      <c r="K7" s="52"/>
      <c r="L7" s="52"/>
      <c r="M7" s="52"/>
      <c r="N7" s="52"/>
      <c r="O7" s="19">
        <f>SUM(E7:N7)</f>
        <v>2446.5500000000002</v>
      </c>
      <c r="P7" s="19">
        <f>O7-M7-J7</f>
        <v>2446.5500000000002</v>
      </c>
      <c r="Q7" s="20">
        <f>P7*9%</f>
        <v>220.18950000000001</v>
      </c>
      <c r="R7" s="20"/>
      <c r="S7" s="20">
        <f>Q7+R7</f>
        <v>220.18950000000001</v>
      </c>
      <c r="T7" s="19">
        <f>P7+S7</f>
        <v>2666.7395000000001</v>
      </c>
      <c r="U7" s="21" t="s">
        <v>0</v>
      </c>
      <c r="V7" s="20">
        <f>+P7*13.02%</f>
        <v>318.54080999999996</v>
      </c>
    </row>
    <row r="8" spans="1:22" ht="15.75">
      <c r="A8" s="22">
        <v>2</v>
      </c>
      <c r="B8" s="23" t="s">
        <v>34</v>
      </c>
      <c r="C8" s="17">
        <v>64</v>
      </c>
      <c r="D8" s="18">
        <v>5</v>
      </c>
      <c r="E8" s="19">
        <v>1666</v>
      </c>
      <c r="F8" s="20">
        <f>75+131.6+232.13+58.03</f>
        <v>496.76</v>
      </c>
      <c r="G8" s="20">
        <v>250</v>
      </c>
      <c r="H8" s="20"/>
      <c r="I8" s="20"/>
      <c r="J8" s="20"/>
      <c r="K8" s="20"/>
      <c r="L8" s="20"/>
      <c r="M8" s="20">
        <v>80.5</v>
      </c>
      <c r="N8" s="20">
        <v>233</v>
      </c>
      <c r="O8" s="19">
        <f t="shared" ref="O8:O10" si="0">SUM(E8:N8)</f>
        <v>2726.26</v>
      </c>
      <c r="P8" s="19">
        <f t="shared" ref="P8:P10" si="1">O8-M8-J8</f>
        <v>2645.76</v>
      </c>
      <c r="Q8" s="20">
        <f t="shared" ref="Q8:Q10" si="2">P8*9%</f>
        <v>238.11840000000001</v>
      </c>
      <c r="R8" s="20"/>
      <c r="S8" s="20">
        <f t="shared" ref="S8:S10" si="3">Q8+R8</f>
        <v>238.11840000000001</v>
      </c>
      <c r="T8" s="19">
        <f t="shared" ref="T8:T10" si="4">P8+S8</f>
        <v>2883.8784000000001</v>
      </c>
      <c r="U8" s="21" t="s">
        <v>18</v>
      </c>
      <c r="V8" s="20">
        <f>+P8*12.88%</f>
        <v>340.773888</v>
      </c>
    </row>
    <row r="9" spans="1:22" ht="15.75">
      <c r="A9" s="22">
        <v>3</v>
      </c>
      <c r="B9" s="23" t="s">
        <v>7</v>
      </c>
      <c r="C9" s="17">
        <v>46</v>
      </c>
      <c r="D9" s="18">
        <v>5</v>
      </c>
      <c r="E9" s="19">
        <v>1727</v>
      </c>
      <c r="F9" s="20">
        <f>75+104+50</f>
        <v>229</v>
      </c>
      <c r="G9" s="20">
        <v>200</v>
      </c>
      <c r="H9" s="20"/>
      <c r="I9" s="20"/>
      <c r="J9" s="20"/>
      <c r="K9" s="20"/>
      <c r="L9" s="20"/>
      <c r="M9" s="20"/>
      <c r="N9" s="20">
        <v>121</v>
      </c>
      <c r="O9" s="19">
        <f t="shared" si="0"/>
        <v>2277</v>
      </c>
      <c r="P9" s="19">
        <f t="shared" si="1"/>
        <v>2277</v>
      </c>
      <c r="Q9" s="20">
        <f t="shared" si="2"/>
        <v>204.92999999999998</v>
      </c>
      <c r="R9" s="20"/>
      <c r="S9" s="20">
        <f t="shared" si="3"/>
        <v>204.92999999999998</v>
      </c>
      <c r="T9" s="19">
        <f t="shared" si="4"/>
        <v>2481.9299999999998</v>
      </c>
      <c r="U9" s="21" t="s">
        <v>2</v>
      </c>
      <c r="V9" s="20">
        <f>+P9*12.93%</f>
        <v>294.41609999999997</v>
      </c>
    </row>
    <row r="10" spans="1:22" ht="16.5" thickBot="1">
      <c r="A10" s="53">
        <v>4</v>
      </c>
      <c r="B10" s="54" t="s">
        <v>8</v>
      </c>
      <c r="C10" s="55">
        <v>53</v>
      </c>
      <c r="D10" s="56">
        <v>5</v>
      </c>
      <c r="E10" s="57">
        <v>1951</v>
      </c>
      <c r="F10" s="58">
        <f>75+104</f>
        <v>179</v>
      </c>
      <c r="G10" s="58">
        <v>150</v>
      </c>
      <c r="H10" s="58"/>
      <c r="I10" s="58"/>
      <c r="J10" s="58"/>
      <c r="K10" s="58"/>
      <c r="L10" s="58"/>
      <c r="M10" s="58"/>
      <c r="N10" s="58"/>
      <c r="O10" s="19">
        <f t="shared" si="0"/>
        <v>2280</v>
      </c>
      <c r="P10" s="19">
        <f t="shared" si="1"/>
        <v>2280</v>
      </c>
      <c r="Q10" s="20">
        <f t="shared" si="2"/>
        <v>205.2</v>
      </c>
      <c r="R10" s="20"/>
      <c r="S10" s="20">
        <f t="shared" si="3"/>
        <v>205.2</v>
      </c>
      <c r="T10" s="19">
        <f t="shared" si="4"/>
        <v>2485.1999999999998</v>
      </c>
      <c r="U10" s="21" t="s">
        <v>18</v>
      </c>
      <c r="V10" s="20">
        <f>+P10*12.88%</f>
        <v>293.66399999999999</v>
      </c>
    </row>
    <row r="11" spans="1:22" ht="15.75">
      <c r="A11" s="47">
        <v>1</v>
      </c>
      <c r="B11" s="48" t="s">
        <v>35</v>
      </c>
      <c r="C11" s="49">
        <v>15</v>
      </c>
      <c r="D11" s="50">
        <v>5</v>
      </c>
      <c r="E11" s="51">
        <v>905</v>
      </c>
      <c r="F11" s="52">
        <f>75+104</f>
        <v>179</v>
      </c>
      <c r="G11" s="52">
        <v>150</v>
      </c>
      <c r="H11" s="52"/>
      <c r="I11" s="52"/>
      <c r="J11" s="52"/>
      <c r="K11" s="52"/>
      <c r="L11" s="52"/>
      <c r="M11" s="52"/>
      <c r="N11" s="52">
        <v>761</v>
      </c>
      <c r="O11" s="19">
        <f>SUM(E11:N11)</f>
        <v>1995</v>
      </c>
      <c r="P11" s="19">
        <f>O11-M11-J11</f>
        <v>1995</v>
      </c>
      <c r="Q11" s="20">
        <f>P11*9%</f>
        <v>179.54999999999998</v>
      </c>
      <c r="R11" s="20"/>
      <c r="S11" s="20">
        <f>Q11+R11</f>
        <v>179.54999999999998</v>
      </c>
      <c r="T11" s="19">
        <f>P11+S11</f>
        <v>2174.5500000000002</v>
      </c>
      <c r="U11" s="21" t="s">
        <v>0</v>
      </c>
      <c r="V11" s="20">
        <f>+P11*13.02%</f>
        <v>259.74899999999997</v>
      </c>
    </row>
    <row r="12" spans="1:22" ht="15.75">
      <c r="A12" s="22">
        <v>2</v>
      </c>
      <c r="B12" s="23" t="s">
        <v>48</v>
      </c>
      <c r="C12" s="17"/>
      <c r="D12" s="18"/>
      <c r="E12" s="19">
        <v>880</v>
      </c>
      <c r="F12" s="20">
        <v>104</v>
      </c>
      <c r="G12" s="20"/>
      <c r="H12" s="20"/>
      <c r="I12" s="20"/>
      <c r="J12" s="20"/>
      <c r="K12" s="20"/>
      <c r="L12" s="20"/>
      <c r="M12" s="20"/>
      <c r="N12" s="20">
        <v>786</v>
      </c>
      <c r="O12" s="19">
        <f t="shared" ref="O12:O13" si="5">SUM(E12:N12)</f>
        <v>1770</v>
      </c>
      <c r="P12" s="19">
        <f t="shared" ref="P12:P13" si="6">O12-M12-J12</f>
        <v>1770</v>
      </c>
      <c r="Q12" s="20">
        <f t="shared" ref="Q12:Q13" si="7">P12*9%</f>
        <v>159.29999999999998</v>
      </c>
      <c r="R12" s="20"/>
      <c r="S12" s="20">
        <f t="shared" ref="S12:S13" si="8">Q12+R12</f>
        <v>159.29999999999998</v>
      </c>
      <c r="T12" s="19">
        <f t="shared" ref="T12:T13" si="9">P12+S12</f>
        <v>1929.3</v>
      </c>
      <c r="U12" s="21" t="s">
        <v>2</v>
      </c>
      <c r="V12" s="20">
        <f>+P12*12.93%</f>
        <v>228.86099999999999</v>
      </c>
    </row>
    <row r="13" spans="1:22" ht="16.5" thickBot="1">
      <c r="A13" s="53">
        <v>3</v>
      </c>
      <c r="B13" s="54" t="s">
        <v>49</v>
      </c>
      <c r="C13" s="55"/>
      <c r="D13" s="56">
        <v>5</v>
      </c>
      <c r="E13" s="57">
        <v>905</v>
      </c>
      <c r="F13" s="58">
        <v>104</v>
      </c>
      <c r="G13" s="58"/>
      <c r="H13" s="58"/>
      <c r="I13" s="58"/>
      <c r="J13" s="58"/>
      <c r="K13" s="58"/>
      <c r="L13" s="58"/>
      <c r="M13" s="58"/>
      <c r="N13" s="58">
        <v>761</v>
      </c>
      <c r="O13" s="19">
        <f t="shared" si="5"/>
        <v>1770</v>
      </c>
      <c r="P13" s="19">
        <f t="shared" si="6"/>
        <v>1770</v>
      </c>
      <c r="Q13" s="20">
        <f t="shared" si="7"/>
        <v>159.29999999999998</v>
      </c>
      <c r="R13" s="20"/>
      <c r="S13" s="20">
        <f t="shared" si="8"/>
        <v>159.29999999999998</v>
      </c>
      <c r="T13" s="19">
        <f t="shared" si="9"/>
        <v>1929.3</v>
      </c>
      <c r="U13" s="21" t="s">
        <v>2</v>
      </c>
      <c r="V13" s="20">
        <f>+P13*12.93%</f>
        <v>228.86099999999999</v>
      </c>
    </row>
    <row r="14" spans="1:22" ht="15.75">
      <c r="A14" s="47">
        <v>1</v>
      </c>
      <c r="B14" s="48" t="s">
        <v>38</v>
      </c>
      <c r="C14" s="49">
        <v>8</v>
      </c>
      <c r="D14" s="50">
        <v>5</v>
      </c>
      <c r="E14" s="51">
        <v>1899</v>
      </c>
      <c r="F14" s="52">
        <v>100</v>
      </c>
      <c r="G14" s="52"/>
      <c r="H14" s="52"/>
      <c r="I14" s="52"/>
      <c r="J14" s="52"/>
      <c r="K14" s="52"/>
      <c r="L14" s="52"/>
      <c r="M14" s="52"/>
      <c r="N14" s="52"/>
      <c r="O14" s="19">
        <f>SUM(E14:N14)</f>
        <v>1999</v>
      </c>
      <c r="P14" s="19">
        <f>O14-M14-J14</f>
        <v>1999</v>
      </c>
      <c r="Q14" s="20">
        <f>P14*9%</f>
        <v>179.91</v>
      </c>
      <c r="R14" s="20"/>
      <c r="S14" s="20">
        <f>Q14+R14</f>
        <v>179.91</v>
      </c>
      <c r="T14" s="19">
        <f>P14+S14</f>
        <v>2178.91</v>
      </c>
      <c r="U14" s="21" t="s">
        <v>19</v>
      </c>
      <c r="V14" s="20">
        <f>199.9+26.59+9.4</f>
        <v>235.89000000000001</v>
      </c>
    </row>
    <row r="15" spans="1:22" ht="15.75">
      <c r="A15" s="22">
        <v>2</v>
      </c>
      <c r="B15" s="23" t="s">
        <v>26</v>
      </c>
      <c r="C15" s="49"/>
      <c r="D15" s="50"/>
      <c r="E15" s="51"/>
      <c r="F15" s="52"/>
      <c r="G15" s="52"/>
      <c r="H15" s="52"/>
      <c r="I15" s="52"/>
      <c r="J15" s="52"/>
      <c r="K15" s="52"/>
      <c r="L15" s="52"/>
      <c r="M15" s="52"/>
      <c r="N15" s="52"/>
      <c r="O15" s="19"/>
      <c r="P15" s="19"/>
      <c r="Q15" s="20"/>
      <c r="R15" s="20"/>
      <c r="S15" s="20"/>
      <c r="T15" s="19"/>
      <c r="U15" s="21"/>
      <c r="V15" s="20"/>
    </row>
    <row r="16" spans="1:22" ht="15.75">
      <c r="A16" s="47">
        <v>1</v>
      </c>
      <c r="B16" s="87" t="s">
        <v>58</v>
      </c>
      <c r="C16" s="49"/>
      <c r="D16" s="50"/>
      <c r="E16" s="51"/>
      <c r="F16" s="52"/>
      <c r="G16" s="52"/>
      <c r="H16" s="52"/>
      <c r="I16" s="52"/>
      <c r="J16" s="52"/>
      <c r="K16" s="52"/>
      <c r="L16" s="52"/>
      <c r="M16" s="52"/>
      <c r="N16" s="52"/>
      <c r="O16" s="19"/>
      <c r="P16" s="19"/>
      <c r="Q16" s="20"/>
      <c r="R16" s="20"/>
      <c r="S16" s="20"/>
      <c r="T16" s="19"/>
      <c r="U16" s="21"/>
      <c r="V16" s="20"/>
    </row>
    <row r="17" spans="1:22" ht="15.75">
      <c r="A17" s="22">
        <v>2</v>
      </c>
      <c r="B17" s="23" t="s">
        <v>32</v>
      </c>
      <c r="C17" s="17">
        <v>8</v>
      </c>
      <c r="D17" s="18">
        <v>5</v>
      </c>
      <c r="E17" s="19">
        <v>1899</v>
      </c>
      <c r="F17" s="20">
        <v>104</v>
      </c>
      <c r="G17" s="20"/>
      <c r="H17" s="20"/>
      <c r="I17" s="20"/>
      <c r="J17" s="20"/>
      <c r="K17" s="20"/>
      <c r="L17" s="20"/>
      <c r="M17" s="20"/>
      <c r="N17" s="20"/>
      <c r="O17" s="19">
        <f t="shared" ref="O17:O34" si="10">SUM(E17:N17)</f>
        <v>2003</v>
      </c>
      <c r="P17" s="19">
        <f t="shared" ref="P17:P34" si="11">O17-M17-J17</f>
        <v>2003</v>
      </c>
      <c r="Q17" s="20">
        <f t="shared" ref="Q17:Q34" si="12">P17*9%</f>
        <v>180.26999999999998</v>
      </c>
      <c r="R17" s="20"/>
      <c r="S17" s="20">
        <f t="shared" ref="S17:S34" si="13">Q17+R17</f>
        <v>180.26999999999998</v>
      </c>
      <c r="T17" s="19">
        <f t="shared" ref="T17:T34" si="14">P17+S17</f>
        <v>2183.27</v>
      </c>
      <c r="U17" s="21" t="s">
        <v>19</v>
      </c>
      <c r="V17" s="20">
        <f>200.3+26.64+9.41</f>
        <v>236.35</v>
      </c>
    </row>
    <row r="18" spans="1:22" ht="16.5" thickBot="1">
      <c r="A18" s="53">
        <v>1</v>
      </c>
      <c r="B18" s="54" t="s">
        <v>52</v>
      </c>
      <c r="C18" s="55">
        <v>59</v>
      </c>
      <c r="D18" s="56">
        <v>5</v>
      </c>
      <c r="E18" s="57">
        <v>2121</v>
      </c>
      <c r="F18" s="58">
        <v>104</v>
      </c>
      <c r="G18" s="58"/>
      <c r="H18" s="58"/>
      <c r="I18" s="58"/>
      <c r="J18" s="58"/>
      <c r="K18" s="58"/>
      <c r="L18" s="58"/>
      <c r="M18" s="58"/>
      <c r="N18" s="58"/>
      <c r="O18" s="19">
        <f t="shared" si="10"/>
        <v>2225</v>
      </c>
      <c r="P18" s="19">
        <f t="shared" si="11"/>
        <v>2225</v>
      </c>
      <c r="Q18" s="20">
        <f t="shared" si="12"/>
        <v>200.25</v>
      </c>
      <c r="R18" s="20"/>
      <c r="S18" s="20">
        <f t="shared" si="13"/>
        <v>200.25</v>
      </c>
      <c r="T18" s="19">
        <f t="shared" si="14"/>
        <v>2425.25</v>
      </c>
      <c r="U18" s="21" t="s">
        <v>19</v>
      </c>
      <c r="V18" s="20">
        <f>222.5+29.59+10.46</f>
        <v>262.55</v>
      </c>
    </row>
    <row r="19" spans="1:22" ht="15.75">
      <c r="A19" s="47">
        <v>1</v>
      </c>
      <c r="B19" s="48" t="s">
        <v>47</v>
      </c>
      <c r="C19" s="49">
        <v>29</v>
      </c>
      <c r="D19" s="50">
        <v>5</v>
      </c>
      <c r="E19" s="51">
        <v>1848</v>
      </c>
      <c r="F19" s="52">
        <f>96+246.4</f>
        <v>342.4</v>
      </c>
      <c r="G19" s="52"/>
      <c r="H19" s="52"/>
      <c r="I19" s="52"/>
      <c r="J19" s="52"/>
      <c r="K19" s="52"/>
      <c r="L19" s="52"/>
      <c r="M19" s="52">
        <v>80.5</v>
      </c>
      <c r="N19" s="52"/>
      <c r="O19" s="19">
        <f t="shared" si="10"/>
        <v>2270.9</v>
      </c>
      <c r="P19" s="19">
        <f t="shared" si="11"/>
        <v>2190.4</v>
      </c>
      <c r="Q19" s="20">
        <f t="shared" si="12"/>
        <v>197.136</v>
      </c>
      <c r="R19" s="20"/>
      <c r="S19" s="20">
        <f t="shared" si="13"/>
        <v>197.136</v>
      </c>
      <c r="T19" s="19">
        <f t="shared" si="14"/>
        <v>2387.5360000000001</v>
      </c>
      <c r="U19" s="21" t="s">
        <v>19</v>
      </c>
      <c r="V19" s="20">
        <f>219.04+29.13+10.29</f>
        <v>258.45999999999998</v>
      </c>
    </row>
    <row r="20" spans="1:22" ht="15.75">
      <c r="A20" s="22">
        <v>2</v>
      </c>
      <c r="B20" s="23" t="s">
        <v>27</v>
      </c>
      <c r="C20" s="17">
        <v>28</v>
      </c>
      <c r="D20" s="18">
        <v>5</v>
      </c>
      <c r="E20" s="19">
        <v>1899</v>
      </c>
      <c r="F20" s="20">
        <v>75</v>
      </c>
      <c r="G20" s="20"/>
      <c r="H20" s="20"/>
      <c r="I20" s="20"/>
      <c r="J20" s="20"/>
      <c r="K20" s="20"/>
      <c r="L20" s="20"/>
      <c r="M20" s="20"/>
      <c r="N20" s="20"/>
      <c r="O20" s="19">
        <f t="shared" si="10"/>
        <v>1974</v>
      </c>
      <c r="P20" s="19">
        <f t="shared" si="11"/>
        <v>1974</v>
      </c>
      <c r="Q20" s="20">
        <f t="shared" si="12"/>
        <v>177.66</v>
      </c>
      <c r="R20" s="20"/>
      <c r="S20" s="20">
        <f t="shared" si="13"/>
        <v>177.66</v>
      </c>
      <c r="T20" s="19">
        <f t="shared" si="14"/>
        <v>2151.66</v>
      </c>
      <c r="U20" s="21" t="s">
        <v>18</v>
      </c>
      <c r="V20" s="20">
        <f>+P20*12.88%</f>
        <v>254.25119999999998</v>
      </c>
    </row>
    <row r="21" spans="1:22" ht="15.75">
      <c r="A21" s="22">
        <v>1</v>
      </c>
      <c r="B21" s="23" t="s">
        <v>25</v>
      </c>
      <c r="C21" s="17">
        <v>31</v>
      </c>
      <c r="D21" s="18">
        <v>5</v>
      </c>
      <c r="E21" s="19">
        <v>1666</v>
      </c>
      <c r="F21" s="20">
        <f>75+92+116.07+116.07+58.03</f>
        <v>457.16999999999996</v>
      </c>
      <c r="G21" s="20"/>
      <c r="H21" s="20"/>
      <c r="I21" s="20"/>
      <c r="J21" s="20"/>
      <c r="K21" s="20"/>
      <c r="L21" s="20"/>
      <c r="M21" s="20">
        <v>103.5</v>
      </c>
      <c r="N21" s="20"/>
      <c r="O21" s="19">
        <f t="shared" si="10"/>
        <v>2226.67</v>
      </c>
      <c r="P21" s="19">
        <f t="shared" si="11"/>
        <v>2123.17</v>
      </c>
      <c r="Q21" s="20">
        <f t="shared" si="12"/>
        <v>191.08529999999999</v>
      </c>
      <c r="R21" s="20"/>
      <c r="S21" s="20">
        <f t="shared" si="13"/>
        <v>191.08529999999999</v>
      </c>
      <c r="T21" s="19">
        <f t="shared" si="14"/>
        <v>2314.2553000000003</v>
      </c>
      <c r="U21" s="21" t="s">
        <v>2</v>
      </c>
      <c r="V21" s="20">
        <f>+P21*12.93%</f>
        <v>274.52588100000003</v>
      </c>
    </row>
    <row r="22" spans="1:22" ht="15.75">
      <c r="A22" s="22">
        <v>2</v>
      </c>
      <c r="B22" s="23" t="s">
        <v>44</v>
      </c>
      <c r="C22" s="17">
        <v>20</v>
      </c>
      <c r="D22" s="18">
        <v>5</v>
      </c>
      <c r="E22" s="19">
        <v>1666</v>
      </c>
      <c r="F22" s="20">
        <f>75+92+174.1</f>
        <v>341.1</v>
      </c>
      <c r="G22" s="20"/>
      <c r="H22" s="20"/>
      <c r="I22" s="20"/>
      <c r="J22" s="20"/>
      <c r="K22" s="20"/>
      <c r="L22" s="20"/>
      <c r="M22" s="20">
        <v>80.5</v>
      </c>
      <c r="N22" s="20"/>
      <c r="O22" s="19">
        <f t="shared" si="10"/>
        <v>2087.6</v>
      </c>
      <c r="P22" s="19">
        <f t="shared" si="11"/>
        <v>2007.1</v>
      </c>
      <c r="Q22" s="20">
        <f t="shared" si="12"/>
        <v>180.63899999999998</v>
      </c>
      <c r="R22" s="20"/>
      <c r="S22" s="20">
        <f t="shared" si="13"/>
        <v>180.63899999999998</v>
      </c>
      <c r="T22" s="19">
        <f t="shared" si="14"/>
        <v>2187.739</v>
      </c>
      <c r="U22" s="21" t="s">
        <v>1</v>
      </c>
      <c r="V22" s="20">
        <f>+P22*13%</f>
        <v>260.923</v>
      </c>
    </row>
    <row r="23" spans="1:22" ht="15.75">
      <c r="A23" s="22">
        <v>3</v>
      </c>
      <c r="B23" s="23" t="s">
        <v>11</v>
      </c>
      <c r="C23" s="17">
        <v>31</v>
      </c>
      <c r="D23" s="18">
        <v>5</v>
      </c>
      <c r="E23" s="19">
        <v>1899</v>
      </c>
      <c r="F23" s="20">
        <f>75+104+50</f>
        <v>229</v>
      </c>
      <c r="G23" s="20"/>
      <c r="H23" s="20"/>
      <c r="I23" s="20"/>
      <c r="J23" s="20"/>
      <c r="K23" s="20"/>
      <c r="L23" s="20"/>
      <c r="M23" s="20"/>
      <c r="N23" s="20"/>
      <c r="O23" s="19">
        <f t="shared" si="10"/>
        <v>2128</v>
      </c>
      <c r="P23" s="19">
        <f t="shared" si="11"/>
        <v>2128</v>
      </c>
      <c r="Q23" s="20">
        <f t="shared" si="12"/>
        <v>191.51999999999998</v>
      </c>
      <c r="R23" s="20"/>
      <c r="S23" s="20">
        <f t="shared" si="13"/>
        <v>191.51999999999998</v>
      </c>
      <c r="T23" s="19">
        <f t="shared" si="14"/>
        <v>2319.52</v>
      </c>
      <c r="U23" s="21" t="s">
        <v>18</v>
      </c>
      <c r="V23" s="20">
        <f>212.8+28.3+26.17</f>
        <v>267.27000000000004</v>
      </c>
    </row>
    <row r="24" spans="1:22" ht="15.75">
      <c r="A24" s="22">
        <v>3</v>
      </c>
      <c r="B24" s="23" t="s">
        <v>45</v>
      </c>
      <c r="C24" s="17">
        <v>27</v>
      </c>
      <c r="D24" s="18">
        <v>5</v>
      </c>
      <c r="E24" s="19">
        <v>1666</v>
      </c>
      <c r="F24" s="20">
        <f>75+104</f>
        <v>179</v>
      </c>
      <c r="G24" s="20">
        <v>150</v>
      </c>
      <c r="H24" s="20"/>
      <c r="I24" s="20"/>
      <c r="J24" s="20"/>
      <c r="K24" s="20"/>
      <c r="L24" s="20"/>
      <c r="M24" s="20"/>
      <c r="N24" s="20"/>
      <c r="O24" s="19">
        <f t="shared" si="10"/>
        <v>1995</v>
      </c>
      <c r="P24" s="19">
        <f t="shared" si="11"/>
        <v>1995</v>
      </c>
      <c r="Q24" s="20">
        <f t="shared" si="12"/>
        <v>179.54999999999998</v>
      </c>
      <c r="R24" s="20"/>
      <c r="S24" s="20">
        <f t="shared" si="13"/>
        <v>179.54999999999998</v>
      </c>
      <c r="T24" s="19">
        <f t="shared" si="14"/>
        <v>2174.5500000000002</v>
      </c>
      <c r="U24" s="21" t="s">
        <v>18</v>
      </c>
      <c r="V24" s="20">
        <f>+P24*12.88%</f>
        <v>256.95600000000002</v>
      </c>
    </row>
    <row r="25" spans="1:22" ht="15.75">
      <c r="A25" s="22">
        <v>4</v>
      </c>
      <c r="B25" s="23" t="s">
        <v>46</v>
      </c>
      <c r="C25" s="17">
        <v>56</v>
      </c>
      <c r="D25" s="18">
        <v>5</v>
      </c>
      <c r="E25" s="19">
        <v>1848</v>
      </c>
      <c r="F25" s="20">
        <f>75+104</f>
        <v>179</v>
      </c>
      <c r="G25" s="20">
        <v>150</v>
      </c>
      <c r="H25" s="20"/>
      <c r="I25" s="20"/>
      <c r="J25" s="20"/>
      <c r="K25" s="20"/>
      <c r="L25" s="20"/>
      <c r="M25" s="20"/>
      <c r="N25" s="20"/>
      <c r="O25" s="19">
        <f t="shared" si="10"/>
        <v>2177</v>
      </c>
      <c r="P25" s="19">
        <f t="shared" si="11"/>
        <v>2177</v>
      </c>
      <c r="Q25" s="20">
        <f t="shared" si="12"/>
        <v>195.93</v>
      </c>
      <c r="R25" s="20"/>
      <c r="S25" s="20">
        <f t="shared" si="13"/>
        <v>195.93</v>
      </c>
      <c r="T25" s="19">
        <f t="shared" si="14"/>
        <v>2372.9299999999998</v>
      </c>
      <c r="U25" s="21" t="s">
        <v>18</v>
      </c>
      <c r="V25" s="20">
        <f>+P25*12.88%</f>
        <v>280.39760000000001</v>
      </c>
    </row>
    <row r="26" spans="1:22" ht="15.75">
      <c r="A26" s="22">
        <v>5</v>
      </c>
      <c r="B26" s="23" t="s">
        <v>41</v>
      </c>
      <c r="C26" s="17">
        <v>33</v>
      </c>
      <c r="D26" s="18">
        <v>5</v>
      </c>
      <c r="E26" s="19">
        <v>1848</v>
      </c>
      <c r="F26" s="20">
        <f>92+123.2+246.4+61.6</f>
        <v>523.20000000000005</v>
      </c>
      <c r="G26" s="20"/>
      <c r="H26" s="20"/>
      <c r="I26" s="20"/>
      <c r="J26" s="20"/>
      <c r="K26" s="20"/>
      <c r="L26" s="20"/>
      <c r="M26" s="20">
        <v>92</v>
      </c>
      <c r="N26" s="20"/>
      <c r="O26" s="19">
        <f t="shared" si="10"/>
        <v>2463.1999999999998</v>
      </c>
      <c r="P26" s="19">
        <f t="shared" si="11"/>
        <v>2371.1999999999998</v>
      </c>
      <c r="Q26" s="20">
        <f t="shared" si="12"/>
        <v>213.40799999999999</v>
      </c>
      <c r="R26" s="20"/>
      <c r="S26" s="20">
        <f t="shared" si="13"/>
        <v>213.40799999999999</v>
      </c>
      <c r="T26" s="19">
        <f t="shared" si="14"/>
        <v>2584.6079999999997</v>
      </c>
      <c r="U26" s="21" t="s">
        <v>0</v>
      </c>
      <c r="V26" s="20">
        <f>+P26*13.02%</f>
        <v>308.73023999999992</v>
      </c>
    </row>
    <row r="27" spans="1:22" ht="15.75">
      <c r="A27" s="22">
        <v>5</v>
      </c>
      <c r="B27" s="23" t="s">
        <v>13</v>
      </c>
      <c r="C27" s="17">
        <v>8</v>
      </c>
      <c r="D27" s="18">
        <v>5</v>
      </c>
      <c r="E27" s="19">
        <v>1666</v>
      </c>
      <c r="F27" s="20">
        <f>75+104+50</f>
        <v>229</v>
      </c>
      <c r="G27" s="20"/>
      <c r="H27" s="20"/>
      <c r="I27" s="20"/>
      <c r="J27" s="20"/>
      <c r="K27" s="20"/>
      <c r="L27" s="20"/>
      <c r="M27" s="20"/>
      <c r="N27" s="20"/>
      <c r="O27" s="19">
        <f t="shared" si="10"/>
        <v>1895</v>
      </c>
      <c r="P27" s="19">
        <f t="shared" si="11"/>
        <v>1895</v>
      </c>
      <c r="Q27" s="20">
        <f t="shared" si="12"/>
        <v>170.54999999999998</v>
      </c>
      <c r="R27" s="20"/>
      <c r="S27" s="20">
        <f t="shared" si="13"/>
        <v>170.54999999999998</v>
      </c>
      <c r="T27" s="19">
        <f t="shared" si="14"/>
        <v>2065.5500000000002</v>
      </c>
      <c r="U27" s="21" t="s">
        <v>0</v>
      </c>
      <c r="V27" s="20">
        <f>+P27*13.02%</f>
        <v>246.72899999999996</v>
      </c>
    </row>
    <row r="28" spans="1:22" ht="15.75">
      <c r="A28" s="22">
        <v>4</v>
      </c>
      <c r="B28" s="23" t="s">
        <v>40</v>
      </c>
      <c r="C28" s="17">
        <v>26</v>
      </c>
      <c r="D28" s="18">
        <v>5</v>
      </c>
      <c r="E28" s="19">
        <v>1848</v>
      </c>
      <c r="F28" s="20">
        <f>75+104</f>
        <v>179</v>
      </c>
      <c r="G28" s="20"/>
      <c r="H28" s="20"/>
      <c r="I28" s="20"/>
      <c r="J28" s="20"/>
      <c r="K28" s="20"/>
      <c r="L28" s="20"/>
      <c r="M28" s="20"/>
      <c r="N28" s="20"/>
      <c r="O28" s="19">
        <f t="shared" si="10"/>
        <v>2027</v>
      </c>
      <c r="P28" s="19">
        <f t="shared" si="11"/>
        <v>2027</v>
      </c>
      <c r="Q28" s="20">
        <f t="shared" si="12"/>
        <v>182.43</v>
      </c>
      <c r="R28" s="20"/>
      <c r="S28" s="20">
        <f t="shared" si="13"/>
        <v>182.43</v>
      </c>
      <c r="T28" s="19">
        <f t="shared" si="14"/>
        <v>2209.4299999999998</v>
      </c>
      <c r="U28" s="21" t="s">
        <v>0</v>
      </c>
      <c r="V28" s="20">
        <f>+P28*13.02%</f>
        <v>263.91539999999998</v>
      </c>
    </row>
    <row r="29" spans="1:22" ht="15.75">
      <c r="A29" s="22">
        <v>7</v>
      </c>
      <c r="B29" s="23" t="s">
        <v>30</v>
      </c>
      <c r="C29" s="17">
        <v>28</v>
      </c>
      <c r="D29" s="18">
        <v>5</v>
      </c>
      <c r="E29" s="19">
        <v>1848</v>
      </c>
      <c r="F29" s="20">
        <f>80+123.2+184.8+61.6</f>
        <v>449.6</v>
      </c>
      <c r="G29" s="20"/>
      <c r="H29" s="20"/>
      <c r="I29" s="20"/>
      <c r="J29" s="20"/>
      <c r="K29" s="20"/>
      <c r="L29" s="20"/>
      <c r="M29" s="20">
        <v>80.5</v>
      </c>
      <c r="N29" s="20"/>
      <c r="O29" s="19">
        <f t="shared" si="10"/>
        <v>2378.1</v>
      </c>
      <c r="P29" s="19">
        <f t="shared" si="11"/>
        <v>2297.6</v>
      </c>
      <c r="Q29" s="20">
        <f t="shared" si="12"/>
        <v>206.78399999999999</v>
      </c>
      <c r="R29" s="20"/>
      <c r="S29" s="20">
        <f t="shared" si="13"/>
        <v>206.78399999999999</v>
      </c>
      <c r="T29" s="19">
        <f t="shared" si="14"/>
        <v>2504.384</v>
      </c>
      <c r="U29" s="21" t="s">
        <v>18</v>
      </c>
      <c r="V29" s="20">
        <f>+P29*12.88%</f>
        <v>295.93088</v>
      </c>
    </row>
    <row r="30" spans="1:22" ht="15.75">
      <c r="A30" s="22">
        <v>6</v>
      </c>
      <c r="B30" s="23" t="s">
        <v>14</v>
      </c>
      <c r="C30" s="17">
        <v>50</v>
      </c>
      <c r="D30" s="18">
        <v>5</v>
      </c>
      <c r="E30" s="19">
        <v>1951</v>
      </c>
      <c r="F30" s="20">
        <f>75+100+135.07+270.13+67.53</f>
        <v>647.73</v>
      </c>
      <c r="G30" s="20"/>
      <c r="H30" s="20"/>
      <c r="I30" s="20"/>
      <c r="J30" s="20"/>
      <c r="K30" s="20"/>
      <c r="L30" s="20"/>
      <c r="M30" s="20">
        <v>92</v>
      </c>
      <c r="N30" s="20"/>
      <c r="O30" s="19">
        <f t="shared" si="10"/>
        <v>2690.73</v>
      </c>
      <c r="P30" s="19">
        <f t="shared" si="11"/>
        <v>2598.73</v>
      </c>
      <c r="Q30" s="20">
        <f t="shared" si="12"/>
        <v>233.88569999999999</v>
      </c>
      <c r="R30" s="20"/>
      <c r="S30" s="20">
        <f t="shared" si="13"/>
        <v>233.88569999999999</v>
      </c>
      <c r="T30" s="19">
        <f t="shared" si="14"/>
        <v>2832.6156999999998</v>
      </c>
      <c r="U30" s="21" t="s">
        <v>0</v>
      </c>
      <c r="V30" s="20">
        <f>+P30*13.02%</f>
        <v>338.35464599999995</v>
      </c>
    </row>
    <row r="31" spans="1:22" ht="15.75">
      <c r="A31" s="22">
        <v>8</v>
      </c>
      <c r="B31" s="23" t="s">
        <v>53</v>
      </c>
      <c r="C31" s="17">
        <v>19</v>
      </c>
      <c r="D31" s="18">
        <v>5</v>
      </c>
      <c r="E31" s="19">
        <v>1848</v>
      </c>
      <c r="F31" s="20">
        <v>104</v>
      </c>
      <c r="G31" s="20"/>
      <c r="H31" s="20"/>
      <c r="I31" s="20"/>
      <c r="J31" s="20"/>
      <c r="K31" s="20"/>
      <c r="L31" s="20"/>
      <c r="M31" s="20"/>
      <c r="N31" s="20"/>
      <c r="O31" s="19">
        <f t="shared" si="10"/>
        <v>1952</v>
      </c>
      <c r="P31" s="19">
        <f t="shared" si="11"/>
        <v>1952</v>
      </c>
      <c r="Q31" s="20">
        <f t="shared" si="12"/>
        <v>175.68</v>
      </c>
      <c r="R31" s="20"/>
      <c r="S31" s="20">
        <f t="shared" si="13"/>
        <v>175.68</v>
      </c>
      <c r="T31" s="19">
        <f t="shared" si="14"/>
        <v>2127.6799999999998</v>
      </c>
      <c r="U31" s="21" t="s">
        <v>0</v>
      </c>
      <c r="V31" s="20">
        <f>195.2+25.96+28.5</f>
        <v>249.66</v>
      </c>
    </row>
    <row r="32" spans="1:22" ht="15.75">
      <c r="A32" s="22">
        <v>6</v>
      </c>
      <c r="B32" s="23" t="s">
        <v>15</v>
      </c>
      <c r="C32" s="17">
        <v>20</v>
      </c>
      <c r="D32" s="18">
        <v>5</v>
      </c>
      <c r="E32" s="19">
        <v>1666</v>
      </c>
      <c r="F32" s="20">
        <f>75+100+116.07+232.13+58.03</f>
        <v>581.23</v>
      </c>
      <c r="G32" s="20"/>
      <c r="H32" s="20"/>
      <c r="I32" s="20"/>
      <c r="J32" s="20"/>
      <c r="K32" s="20"/>
      <c r="L32" s="20"/>
      <c r="M32" s="20">
        <v>92</v>
      </c>
      <c r="N32" s="20"/>
      <c r="O32" s="19">
        <f t="shared" si="10"/>
        <v>2339.23</v>
      </c>
      <c r="P32" s="19">
        <f t="shared" si="11"/>
        <v>2247.23</v>
      </c>
      <c r="Q32" s="20">
        <f t="shared" si="12"/>
        <v>202.25069999999999</v>
      </c>
      <c r="R32" s="20"/>
      <c r="S32" s="20">
        <f t="shared" si="13"/>
        <v>202.25069999999999</v>
      </c>
      <c r="T32" s="19">
        <f t="shared" si="14"/>
        <v>2449.4807000000001</v>
      </c>
      <c r="U32" s="21" t="s">
        <v>18</v>
      </c>
      <c r="V32" s="20">
        <f>224.72+29.89+27.64</f>
        <v>282.25</v>
      </c>
    </row>
    <row r="33" spans="1:22" ht="15.75">
      <c r="A33" s="22">
        <v>9</v>
      </c>
      <c r="B33" s="23" t="s">
        <v>54</v>
      </c>
      <c r="C33" s="17">
        <v>42</v>
      </c>
      <c r="D33" s="18">
        <v>5</v>
      </c>
      <c r="E33" s="19">
        <v>1848</v>
      </c>
      <c r="F33" s="20">
        <f>75+96+128.2+192.3+64.1</f>
        <v>555.6</v>
      </c>
      <c r="G33" s="20"/>
      <c r="H33" s="20"/>
      <c r="I33" s="20"/>
      <c r="J33" s="20"/>
      <c r="K33" s="20"/>
      <c r="L33" s="20"/>
      <c r="M33" s="20">
        <v>92</v>
      </c>
      <c r="N33" s="20"/>
      <c r="O33" s="19">
        <f t="shared" si="10"/>
        <v>2495.6</v>
      </c>
      <c r="P33" s="19">
        <f t="shared" si="11"/>
        <v>2403.6</v>
      </c>
      <c r="Q33" s="20">
        <f t="shared" si="12"/>
        <v>216.32399999999998</v>
      </c>
      <c r="R33" s="20"/>
      <c r="S33" s="20">
        <f t="shared" si="13"/>
        <v>216.32399999999998</v>
      </c>
      <c r="T33" s="19">
        <f t="shared" si="14"/>
        <v>2619.924</v>
      </c>
      <c r="U33" s="21" t="s">
        <v>1</v>
      </c>
      <c r="V33" s="20">
        <f>+P33*13%</f>
        <v>312.46800000000002</v>
      </c>
    </row>
    <row r="34" spans="1:22" ht="15.75">
      <c r="A34" s="22">
        <v>10</v>
      </c>
      <c r="B34" s="23" t="s">
        <v>55</v>
      </c>
      <c r="C34" s="17">
        <v>34</v>
      </c>
      <c r="D34" s="18">
        <v>5</v>
      </c>
      <c r="E34" s="19">
        <v>1899</v>
      </c>
      <c r="F34" s="20">
        <f>75+100+50</f>
        <v>225</v>
      </c>
      <c r="G34" s="20"/>
      <c r="H34" s="20"/>
      <c r="I34" s="20"/>
      <c r="J34" s="20"/>
      <c r="K34" s="20"/>
      <c r="L34" s="20"/>
      <c r="M34" s="20"/>
      <c r="N34" s="20"/>
      <c r="O34" s="19">
        <f t="shared" si="10"/>
        <v>2124</v>
      </c>
      <c r="P34" s="19">
        <f t="shared" si="11"/>
        <v>2124</v>
      </c>
      <c r="Q34" s="20">
        <f t="shared" si="12"/>
        <v>191.16</v>
      </c>
      <c r="R34" s="20"/>
      <c r="S34" s="20">
        <f t="shared" si="13"/>
        <v>191.16</v>
      </c>
      <c r="T34" s="19">
        <f t="shared" si="14"/>
        <v>2315.16</v>
      </c>
      <c r="U34" s="21" t="s">
        <v>18</v>
      </c>
      <c r="V34" s="20">
        <f>+P34*12.88%</f>
        <v>273.57119999999998</v>
      </c>
    </row>
  </sheetData>
  <sortState ref="A16:V31">
    <sortCondition ref="B16"/>
  </sortState>
  <pageMargins left="0.37" right="0.15748031496062992" top="0.52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34"/>
  <sheetViews>
    <sheetView workbookViewId="0">
      <selection activeCell="F7" sqref="F7"/>
    </sheetView>
  </sheetViews>
  <sheetFormatPr baseColWidth="10" defaultRowHeight="15"/>
  <cols>
    <col min="1" max="1" width="3" customWidth="1"/>
    <col min="2" max="2" width="20.7109375" customWidth="1"/>
    <col min="3" max="3" width="4.28515625" customWidth="1"/>
    <col min="4" max="4" width="3.85546875" customWidth="1"/>
    <col min="5" max="5" width="9.28515625" customWidth="1"/>
    <col min="6" max="6" width="8.28515625" customWidth="1"/>
    <col min="7" max="7" width="8.140625" customWidth="1"/>
    <col min="8" max="8" width="5.140625" customWidth="1"/>
    <col min="9" max="9" width="5.42578125" customWidth="1"/>
    <col min="10" max="10" width="9.140625" customWidth="1"/>
    <col min="11" max="11" width="8.140625" customWidth="1"/>
    <col min="12" max="12" width="4.5703125" customWidth="1"/>
    <col min="13" max="13" width="6.5703125" customWidth="1"/>
    <col min="14" max="14" width="8.140625" customWidth="1"/>
    <col min="15" max="15" width="10.140625" customWidth="1"/>
    <col min="16" max="16" width="9.140625" customWidth="1"/>
    <col min="17" max="17" width="8.140625" customWidth="1"/>
    <col min="18" max="18" width="4.5703125" customWidth="1"/>
    <col min="19" max="19" width="8.28515625" customWidth="1"/>
    <col min="20" max="20" width="9.140625" customWidth="1"/>
    <col min="21" max="21" width="7" customWidth="1"/>
    <col min="22" max="22" width="8.140625" customWidth="1"/>
  </cols>
  <sheetData>
    <row r="1" spans="1:22" ht="15.75">
      <c r="A1" s="63">
        <v>1</v>
      </c>
      <c r="B1" s="64" t="s">
        <v>33</v>
      </c>
      <c r="C1" s="24">
        <v>180</v>
      </c>
      <c r="D1" s="25">
        <v>5</v>
      </c>
      <c r="E1" s="26">
        <v>2241</v>
      </c>
      <c r="F1" s="27"/>
      <c r="G1" s="27"/>
      <c r="H1" s="27"/>
      <c r="I1" s="27"/>
      <c r="J1" s="27">
        <v>3517.41</v>
      </c>
      <c r="K1" s="27"/>
      <c r="L1" s="27"/>
      <c r="M1" s="27"/>
      <c r="N1" s="27">
        <v>1054</v>
      </c>
      <c r="O1" s="19">
        <f>SUM(E1:N1)</f>
        <v>6812.41</v>
      </c>
      <c r="P1" s="19">
        <f>O1-M1-J1</f>
        <v>3295</v>
      </c>
      <c r="Q1" s="20">
        <f>P1*9%</f>
        <v>296.55</v>
      </c>
      <c r="R1" s="20"/>
      <c r="S1" s="20">
        <f>Q1+R1</f>
        <v>296.55</v>
      </c>
      <c r="T1" s="19">
        <f>P1+S1</f>
        <v>3591.55</v>
      </c>
      <c r="U1" s="21" t="s">
        <v>0</v>
      </c>
      <c r="V1" s="20">
        <f>+P1*13.02%</f>
        <v>429.00899999999996</v>
      </c>
    </row>
    <row r="2" spans="1:22" ht="16.5" thickBot="1">
      <c r="A2" s="53">
        <v>1</v>
      </c>
      <c r="B2" s="54" t="s">
        <v>56</v>
      </c>
      <c r="C2" s="55"/>
      <c r="D2" s="56"/>
      <c r="E2" s="57"/>
      <c r="F2" s="58"/>
      <c r="G2" s="58"/>
      <c r="H2" s="58"/>
      <c r="I2" s="58"/>
      <c r="J2" s="58"/>
      <c r="K2" s="58"/>
      <c r="L2" s="58"/>
      <c r="M2" s="58"/>
      <c r="N2" s="58"/>
      <c r="O2" s="19"/>
      <c r="P2" s="19"/>
      <c r="Q2" s="20"/>
      <c r="R2" s="20"/>
      <c r="S2" s="20"/>
      <c r="T2" s="19"/>
      <c r="U2" s="21"/>
      <c r="V2" s="20"/>
    </row>
    <row r="3" spans="1:22" ht="15.75">
      <c r="A3" s="47">
        <v>1</v>
      </c>
      <c r="B3" s="48" t="s">
        <v>3</v>
      </c>
      <c r="C3" s="49">
        <v>85</v>
      </c>
      <c r="D3" s="50">
        <v>5</v>
      </c>
      <c r="E3" s="51">
        <v>2241</v>
      </c>
      <c r="F3" s="52">
        <v>75</v>
      </c>
      <c r="G3" s="52">
        <v>250</v>
      </c>
      <c r="H3" s="52"/>
      <c r="I3" s="52"/>
      <c r="J3" s="52">
        <v>2472.33</v>
      </c>
      <c r="K3" s="52">
        <v>2241</v>
      </c>
      <c r="L3" s="52"/>
      <c r="M3" s="52"/>
      <c r="N3" s="52"/>
      <c r="O3" s="19">
        <f>SUM(E3:N3)</f>
        <v>7279.33</v>
      </c>
      <c r="P3" s="19">
        <f>O3-M3-J3</f>
        <v>4807</v>
      </c>
      <c r="Q3" s="20">
        <f>P3*9%</f>
        <v>432.63</v>
      </c>
      <c r="R3" s="20"/>
      <c r="S3" s="20">
        <f>Q3+R3</f>
        <v>432.63</v>
      </c>
      <c r="T3" s="19">
        <f>P3+S3</f>
        <v>5239.63</v>
      </c>
      <c r="U3" s="21" t="s">
        <v>2</v>
      </c>
      <c r="V3" s="20">
        <f>+P3*12.93%</f>
        <v>621.54510000000005</v>
      </c>
    </row>
    <row r="4" spans="1:22" ht="16.5" thickBot="1">
      <c r="A4" s="53">
        <v>2</v>
      </c>
      <c r="B4" s="54" t="s">
        <v>56</v>
      </c>
      <c r="C4" s="55">
        <v>181</v>
      </c>
      <c r="D4" s="56">
        <v>5</v>
      </c>
      <c r="E4" s="57">
        <v>2920</v>
      </c>
      <c r="F4" s="58">
        <v>75</v>
      </c>
      <c r="G4" s="58">
        <v>300</v>
      </c>
      <c r="H4" s="58"/>
      <c r="I4" s="58"/>
      <c r="J4" s="58">
        <v>3264.55</v>
      </c>
      <c r="K4" s="58"/>
      <c r="L4" s="58"/>
      <c r="M4" s="58"/>
      <c r="N4" s="58"/>
      <c r="O4" s="26">
        <f t="shared" ref="O4" si="0">SUM(E4:N4)</f>
        <v>6559.55</v>
      </c>
      <c r="P4" s="26">
        <f t="shared" ref="P4" si="1">O4-M4-J4</f>
        <v>3295</v>
      </c>
      <c r="Q4" s="27">
        <f t="shared" ref="Q4" si="2">P4*9%</f>
        <v>296.55</v>
      </c>
      <c r="R4" s="27"/>
      <c r="S4" s="27">
        <f t="shared" ref="S4" si="3">Q4+R4</f>
        <v>296.55</v>
      </c>
      <c r="T4" s="26">
        <f t="shared" ref="T4" si="4">P4+S4</f>
        <v>3591.55</v>
      </c>
      <c r="U4" s="28" t="s">
        <v>57</v>
      </c>
      <c r="V4" s="27">
        <f>329.5+43.82+48.11</f>
        <v>421.43</v>
      </c>
    </row>
    <row r="5" spans="1:22" ht="15.75">
      <c r="A5" s="47">
        <v>1</v>
      </c>
      <c r="B5" s="48" t="s">
        <v>51</v>
      </c>
      <c r="C5" s="49">
        <v>42</v>
      </c>
      <c r="D5" s="50">
        <v>5</v>
      </c>
      <c r="E5" s="51">
        <v>1789</v>
      </c>
      <c r="F5" s="52">
        <f>75+104</f>
        <v>179</v>
      </c>
      <c r="G5" s="52">
        <v>150</v>
      </c>
      <c r="H5" s="52"/>
      <c r="I5" s="52"/>
      <c r="J5" s="52">
        <v>2151.66</v>
      </c>
      <c r="K5" s="52"/>
      <c r="L5" s="52"/>
      <c r="M5" s="52"/>
      <c r="N5" s="52">
        <v>110</v>
      </c>
      <c r="O5" s="19">
        <f>SUM(E5:N5)</f>
        <v>4379.66</v>
      </c>
      <c r="P5" s="19">
        <f>O5-M5-J5</f>
        <v>2228</v>
      </c>
      <c r="Q5" s="20">
        <f>P5*9%</f>
        <v>200.51999999999998</v>
      </c>
      <c r="R5" s="20"/>
      <c r="S5" s="20">
        <f>Q5+R5</f>
        <v>200.51999999999998</v>
      </c>
      <c r="T5" s="19">
        <f>P5+S5</f>
        <v>2428.52</v>
      </c>
      <c r="U5" s="21" t="s">
        <v>0</v>
      </c>
      <c r="V5" s="20">
        <f>+P5*13.02%</f>
        <v>290.08559999999994</v>
      </c>
    </row>
    <row r="6" spans="1:22" ht="16.5" thickBot="1">
      <c r="A6" s="73">
        <v>2</v>
      </c>
      <c r="B6" s="74" t="s">
        <v>24</v>
      </c>
      <c r="C6" s="59"/>
      <c r="D6" s="60"/>
      <c r="E6" s="61"/>
      <c r="F6" s="62"/>
      <c r="G6" s="62"/>
      <c r="H6" s="62"/>
      <c r="I6" s="62"/>
      <c r="J6" s="62"/>
      <c r="K6" s="62"/>
      <c r="L6" s="62"/>
      <c r="M6" s="62"/>
      <c r="N6" s="62"/>
      <c r="O6" s="19"/>
      <c r="P6" s="19"/>
      <c r="Q6" s="20"/>
      <c r="R6" s="20"/>
      <c r="S6" s="20"/>
      <c r="T6" s="19"/>
      <c r="U6" s="21"/>
      <c r="V6" s="20"/>
    </row>
    <row r="7" spans="1:22" ht="15.75">
      <c r="A7" s="22">
        <v>1</v>
      </c>
      <c r="B7" s="23" t="s">
        <v>5</v>
      </c>
      <c r="C7" s="17">
        <v>69</v>
      </c>
      <c r="D7" s="18">
        <v>5</v>
      </c>
      <c r="E7" s="19">
        <v>1899</v>
      </c>
      <c r="F7" s="20">
        <f>75+104+50</f>
        <v>229</v>
      </c>
      <c r="G7" s="20">
        <v>300</v>
      </c>
      <c r="H7" s="20"/>
      <c r="I7" s="20">
        <v>18.55</v>
      </c>
      <c r="J7" s="20">
        <v>2171.88</v>
      </c>
      <c r="K7" s="20"/>
      <c r="L7" s="20"/>
      <c r="M7" s="20"/>
      <c r="N7" s="20"/>
      <c r="O7" s="19">
        <f>SUM(E7:N7)</f>
        <v>4618.43</v>
      </c>
      <c r="P7" s="19">
        <f>O7-M7-J7</f>
        <v>2446.5500000000002</v>
      </c>
      <c r="Q7" s="20">
        <f>P7*9%</f>
        <v>220.18950000000001</v>
      </c>
      <c r="R7" s="20"/>
      <c r="S7" s="20">
        <f>Q7+R7</f>
        <v>220.18950000000001</v>
      </c>
      <c r="T7" s="19">
        <f>P7+S7</f>
        <v>2666.7395000000001</v>
      </c>
      <c r="U7" s="21" t="s">
        <v>0</v>
      </c>
      <c r="V7" s="20">
        <f>+P7*13.02%</f>
        <v>318.54080999999996</v>
      </c>
    </row>
    <row r="8" spans="1:22" ht="15.75">
      <c r="A8" s="22">
        <v>2</v>
      </c>
      <c r="B8" s="23" t="s">
        <v>34</v>
      </c>
      <c r="C8" s="17">
        <v>71</v>
      </c>
      <c r="D8" s="18">
        <v>5</v>
      </c>
      <c r="E8" s="19">
        <v>1666</v>
      </c>
      <c r="F8" s="20">
        <f>75+131.6+174.1+58.03</f>
        <v>438.73</v>
      </c>
      <c r="G8" s="20">
        <v>250</v>
      </c>
      <c r="H8" s="20"/>
      <c r="I8" s="20"/>
      <c r="J8" s="20">
        <v>2151.66</v>
      </c>
      <c r="K8" s="20"/>
      <c r="L8" s="20"/>
      <c r="M8" s="20">
        <v>80.5</v>
      </c>
      <c r="N8" s="20">
        <v>233</v>
      </c>
      <c r="O8" s="19">
        <f t="shared" ref="O8:O10" si="5">SUM(E8:N8)</f>
        <v>4819.8899999999994</v>
      </c>
      <c r="P8" s="19">
        <f t="shared" ref="P8:P10" si="6">O8-M8-J8</f>
        <v>2587.7299999999996</v>
      </c>
      <c r="Q8" s="20">
        <f t="shared" ref="Q8:Q10" si="7">P8*9%</f>
        <v>232.89569999999995</v>
      </c>
      <c r="R8" s="20"/>
      <c r="S8" s="20">
        <f t="shared" ref="S8:S10" si="8">Q8+R8</f>
        <v>232.89569999999995</v>
      </c>
      <c r="T8" s="19">
        <f t="shared" ref="T8:T10" si="9">P8+S8</f>
        <v>2820.6256999999996</v>
      </c>
      <c r="U8" s="21" t="s">
        <v>18</v>
      </c>
      <c r="V8" s="20">
        <f>+P8*12.88%</f>
        <v>333.29962399999994</v>
      </c>
    </row>
    <row r="9" spans="1:22" ht="15.75">
      <c r="A9" s="22">
        <v>3</v>
      </c>
      <c r="B9" s="23" t="s">
        <v>7</v>
      </c>
      <c r="C9" s="17">
        <v>46</v>
      </c>
      <c r="D9" s="18">
        <v>5</v>
      </c>
      <c r="E9" s="19">
        <v>1727</v>
      </c>
      <c r="F9" s="20">
        <f>75+104+50</f>
        <v>229</v>
      </c>
      <c r="G9" s="20">
        <v>200</v>
      </c>
      <c r="H9" s="20"/>
      <c r="I9" s="20"/>
      <c r="J9" s="20">
        <v>2096.0700000000002</v>
      </c>
      <c r="K9" s="20"/>
      <c r="L9" s="20"/>
      <c r="M9" s="20"/>
      <c r="N9" s="20">
        <v>121</v>
      </c>
      <c r="O9" s="19">
        <f t="shared" si="5"/>
        <v>4373.07</v>
      </c>
      <c r="P9" s="19">
        <f t="shared" si="6"/>
        <v>2276.9999999999995</v>
      </c>
      <c r="Q9" s="20">
        <f t="shared" si="7"/>
        <v>204.92999999999995</v>
      </c>
      <c r="R9" s="20"/>
      <c r="S9" s="20">
        <f t="shared" si="8"/>
        <v>204.92999999999995</v>
      </c>
      <c r="T9" s="19">
        <f t="shared" si="9"/>
        <v>2481.9299999999994</v>
      </c>
      <c r="U9" s="21" t="s">
        <v>2</v>
      </c>
      <c r="V9" s="20">
        <f>+P9*12.93%</f>
        <v>294.41609999999991</v>
      </c>
    </row>
    <row r="10" spans="1:22" ht="16.5" thickBot="1">
      <c r="A10" s="53">
        <v>4</v>
      </c>
      <c r="B10" s="54" t="s">
        <v>8</v>
      </c>
      <c r="C10" s="55">
        <v>56</v>
      </c>
      <c r="D10" s="56">
        <v>5</v>
      </c>
      <c r="E10" s="57">
        <v>1951</v>
      </c>
      <c r="F10" s="58">
        <f>75+135.07+104</f>
        <v>314.07</v>
      </c>
      <c r="G10" s="58">
        <v>150</v>
      </c>
      <c r="H10" s="58"/>
      <c r="I10" s="58"/>
      <c r="J10" s="58">
        <v>2208.34</v>
      </c>
      <c r="K10" s="58"/>
      <c r="L10" s="58"/>
      <c r="M10" s="58"/>
      <c r="N10" s="58"/>
      <c r="O10" s="19">
        <f t="shared" si="5"/>
        <v>4623.41</v>
      </c>
      <c r="P10" s="19">
        <f t="shared" si="6"/>
        <v>2415.0699999999997</v>
      </c>
      <c r="Q10" s="20">
        <f t="shared" si="7"/>
        <v>217.35629999999998</v>
      </c>
      <c r="R10" s="20"/>
      <c r="S10" s="20">
        <f t="shared" si="8"/>
        <v>217.35629999999998</v>
      </c>
      <c r="T10" s="19">
        <f t="shared" si="9"/>
        <v>2632.4262999999996</v>
      </c>
      <c r="U10" s="21" t="s">
        <v>18</v>
      </c>
      <c r="V10" s="20">
        <f>+P10*12.88%</f>
        <v>311.06101599999994</v>
      </c>
    </row>
    <row r="11" spans="1:22" ht="15.75">
      <c r="A11" s="47">
        <v>1</v>
      </c>
      <c r="B11" s="48" t="s">
        <v>35</v>
      </c>
      <c r="C11" s="49">
        <v>15</v>
      </c>
      <c r="D11" s="50">
        <v>5</v>
      </c>
      <c r="E11" s="51">
        <v>905</v>
      </c>
      <c r="F11" s="52">
        <v>75</v>
      </c>
      <c r="G11" s="52">
        <v>150</v>
      </c>
      <c r="H11" s="52"/>
      <c r="I11" s="52"/>
      <c r="J11" s="52">
        <v>1897.69</v>
      </c>
      <c r="K11" s="52">
        <v>1741</v>
      </c>
      <c r="L11" s="52"/>
      <c r="M11" s="52"/>
      <c r="N11" s="52">
        <v>761</v>
      </c>
      <c r="O11" s="19">
        <f>SUM(E11:N11)</f>
        <v>5529.6900000000005</v>
      </c>
      <c r="P11" s="19">
        <f>O11-M11-J11</f>
        <v>3632.0000000000005</v>
      </c>
      <c r="Q11" s="20">
        <f>P11*9%</f>
        <v>326.88000000000005</v>
      </c>
      <c r="R11" s="20"/>
      <c r="S11" s="20">
        <f>Q11+R11</f>
        <v>326.88000000000005</v>
      </c>
      <c r="T11" s="19">
        <f>P11+S11</f>
        <v>3958.8800000000006</v>
      </c>
      <c r="U11" s="21" t="s">
        <v>0</v>
      </c>
      <c r="V11" s="20">
        <f>+P11*13.02%</f>
        <v>472.88639999999998</v>
      </c>
    </row>
    <row r="12" spans="1:22" ht="15.75">
      <c r="A12" s="22">
        <v>2</v>
      </c>
      <c r="B12" s="23" t="s">
        <v>48</v>
      </c>
      <c r="C12" s="17">
        <v>12</v>
      </c>
      <c r="D12" s="18"/>
      <c r="E12" s="19">
        <v>880</v>
      </c>
      <c r="F12" s="20">
        <v>104</v>
      </c>
      <c r="G12" s="20"/>
      <c r="H12" s="20"/>
      <c r="I12" s="20"/>
      <c r="J12" s="20">
        <v>1805.85</v>
      </c>
      <c r="K12" s="20"/>
      <c r="L12" s="20"/>
      <c r="M12" s="20"/>
      <c r="N12" s="20">
        <v>786</v>
      </c>
      <c r="O12" s="19">
        <f t="shared" ref="O12:O13" si="10">SUM(E12:N12)</f>
        <v>3575.85</v>
      </c>
      <c r="P12" s="19">
        <f t="shared" ref="P12:P13" si="11">O12-M12-J12</f>
        <v>1770</v>
      </c>
      <c r="Q12" s="20">
        <f t="shared" ref="Q12:Q13" si="12">P12*9%</f>
        <v>159.29999999999998</v>
      </c>
      <c r="R12" s="20"/>
      <c r="S12" s="20">
        <f t="shared" ref="S12:S13" si="13">Q12+R12</f>
        <v>159.29999999999998</v>
      </c>
      <c r="T12" s="19">
        <f t="shared" ref="T12:T13" si="14">P12+S12</f>
        <v>1929.3</v>
      </c>
      <c r="U12" s="21" t="s">
        <v>2</v>
      </c>
      <c r="V12" s="20">
        <f>+P12*12.93%</f>
        <v>228.86099999999999</v>
      </c>
    </row>
    <row r="13" spans="1:22" ht="16.5" thickBot="1">
      <c r="A13" s="53">
        <v>3</v>
      </c>
      <c r="B13" s="54" t="s">
        <v>49</v>
      </c>
      <c r="C13" s="55"/>
      <c r="D13" s="56">
        <v>5</v>
      </c>
      <c r="E13" s="57">
        <v>905</v>
      </c>
      <c r="F13" s="58">
        <v>104</v>
      </c>
      <c r="G13" s="58"/>
      <c r="H13" s="58"/>
      <c r="I13" s="58"/>
      <c r="J13" s="58">
        <v>1815.94</v>
      </c>
      <c r="K13" s="58"/>
      <c r="L13" s="58"/>
      <c r="M13" s="58"/>
      <c r="N13" s="58">
        <v>761</v>
      </c>
      <c r="O13" s="19">
        <f t="shared" si="10"/>
        <v>3585.94</v>
      </c>
      <c r="P13" s="19">
        <f t="shared" si="11"/>
        <v>1770</v>
      </c>
      <c r="Q13" s="20">
        <f t="shared" si="12"/>
        <v>159.29999999999998</v>
      </c>
      <c r="R13" s="20"/>
      <c r="S13" s="20">
        <f t="shared" si="13"/>
        <v>159.29999999999998</v>
      </c>
      <c r="T13" s="19">
        <f t="shared" si="14"/>
        <v>1929.3</v>
      </c>
      <c r="U13" s="21" t="s">
        <v>2</v>
      </c>
      <c r="V13" s="20">
        <f>+P13*12.93%</f>
        <v>228.86099999999999</v>
      </c>
    </row>
    <row r="14" spans="1:22" ht="15.75">
      <c r="A14" s="47">
        <v>1</v>
      </c>
      <c r="B14" s="48" t="s">
        <v>38</v>
      </c>
      <c r="C14" s="49"/>
      <c r="D14" s="50"/>
      <c r="E14" s="51"/>
      <c r="F14" s="52"/>
      <c r="G14" s="52"/>
      <c r="H14" s="52"/>
      <c r="I14" s="52"/>
      <c r="J14" s="52"/>
      <c r="K14" s="52"/>
      <c r="L14" s="52"/>
      <c r="M14" s="52"/>
      <c r="N14" s="52"/>
      <c r="O14" s="19"/>
      <c r="P14" s="19"/>
      <c r="Q14" s="20"/>
      <c r="R14" s="20"/>
      <c r="S14" s="20"/>
      <c r="T14" s="19"/>
      <c r="U14" s="21"/>
      <c r="V14" s="20"/>
    </row>
    <row r="15" spans="1:22" ht="15.75">
      <c r="A15" s="22">
        <v>2</v>
      </c>
      <c r="B15" s="23" t="s">
        <v>26</v>
      </c>
      <c r="C15" s="49"/>
      <c r="D15" s="50"/>
      <c r="E15" s="51"/>
      <c r="F15" s="52"/>
      <c r="G15" s="52"/>
      <c r="H15" s="52"/>
      <c r="I15" s="52"/>
      <c r="J15" s="52"/>
      <c r="K15" s="52"/>
      <c r="L15" s="52"/>
      <c r="M15" s="52"/>
      <c r="N15" s="52"/>
      <c r="O15" s="19"/>
      <c r="P15" s="19"/>
      <c r="Q15" s="20"/>
      <c r="R15" s="20"/>
      <c r="S15" s="20"/>
      <c r="T15" s="19"/>
      <c r="U15" s="21"/>
      <c r="V15" s="20"/>
    </row>
    <row r="16" spans="1:22" ht="15.75">
      <c r="A16" s="47">
        <v>1</v>
      </c>
      <c r="B16" s="87" t="s">
        <v>58</v>
      </c>
      <c r="C16" s="88">
        <v>15</v>
      </c>
      <c r="D16" s="50">
        <v>5</v>
      </c>
      <c r="E16" s="51">
        <v>1700</v>
      </c>
      <c r="F16" s="52">
        <v>75</v>
      </c>
      <c r="G16" s="52">
        <v>150</v>
      </c>
      <c r="H16" s="52"/>
      <c r="I16" s="52"/>
      <c r="J16" s="52">
        <v>1934.75</v>
      </c>
      <c r="K16" s="52"/>
      <c r="L16" s="52"/>
      <c r="M16" s="52"/>
      <c r="N16" s="52"/>
      <c r="O16" s="19">
        <f t="shared" ref="O16:O34" si="15">SUM(E16:N16)</f>
        <v>3859.75</v>
      </c>
      <c r="P16" s="19">
        <f t="shared" ref="P16:P34" si="16">O16-M16-J16</f>
        <v>1925</v>
      </c>
      <c r="Q16" s="20">
        <f t="shared" ref="Q16:Q34" si="17">P16*9%</f>
        <v>173.25</v>
      </c>
      <c r="R16" s="20"/>
      <c r="S16" s="20">
        <f>+Q16+R16</f>
        <v>173.25</v>
      </c>
      <c r="T16" s="19">
        <f t="shared" ref="T16:T34" si="18">P16+S16</f>
        <v>2098.25</v>
      </c>
      <c r="U16" s="21" t="s">
        <v>0</v>
      </c>
      <c r="V16" s="20">
        <f>192.5+25.6+28.11</f>
        <v>246.20999999999998</v>
      </c>
    </row>
    <row r="17" spans="1:22" ht="15.75">
      <c r="A17" s="30">
        <v>2</v>
      </c>
      <c r="B17" s="64" t="s">
        <v>32</v>
      </c>
      <c r="C17" s="24">
        <v>9</v>
      </c>
      <c r="D17" s="25">
        <v>5</v>
      </c>
      <c r="E17" s="26">
        <v>1899</v>
      </c>
      <c r="F17" s="27">
        <v>104</v>
      </c>
      <c r="G17" s="27"/>
      <c r="H17" s="27"/>
      <c r="I17" s="27"/>
      <c r="J17" s="27">
        <v>2023.91</v>
      </c>
      <c r="K17" s="27"/>
      <c r="L17" s="27"/>
      <c r="M17" s="27"/>
      <c r="N17" s="27"/>
      <c r="O17" s="26">
        <f t="shared" si="15"/>
        <v>4026.91</v>
      </c>
      <c r="P17" s="26">
        <f t="shared" si="16"/>
        <v>2002.9999999999998</v>
      </c>
      <c r="Q17" s="27">
        <f t="shared" si="17"/>
        <v>180.26999999999998</v>
      </c>
      <c r="R17" s="27"/>
      <c r="S17" s="27">
        <f t="shared" ref="S17:S34" si="19">Q17+R17</f>
        <v>180.26999999999998</v>
      </c>
      <c r="T17" s="26">
        <f t="shared" si="18"/>
        <v>2183.2699999999995</v>
      </c>
      <c r="U17" s="28" t="s">
        <v>19</v>
      </c>
      <c r="V17" s="27">
        <f>200.3+26.64+7.61</f>
        <v>234.55</v>
      </c>
    </row>
    <row r="18" spans="1:22" ht="16.5" thickBot="1">
      <c r="A18" s="53">
        <v>1</v>
      </c>
      <c r="B18" s="54" t="s">
        <v>52</v>
      </c>
      <c r="C18" s="55">
        <v>61</v>
      </c>
      <c r="D18" s="56">
        <v>5</v>
      </c>
      <c r="E18" s="57">
        <v>2121</v>
      </c>
      <c r="F18" s="58">
        <v>100</v>
      </c>
      <c r="G18" s="58"/>
      <c r="H18" s="58"/>
      <c r="I18" s="58"/>
      <c r="J18" s="58">
        <v>2311.89</v>
      </c>
      <c r="K18" s="58"/>
      <c r="L18" s="58"/>
      <c r="M18" s="58"/>
      <c r="N18" s="58"/>
      <c r="O18" s="19">
        <f t="shared" si="15"/>
        <v>4532.8899999999994</v>
      </c>
      <c r="P18" s="19">
        <f t="shared" si="16"/>
        <v>2220.9999999999995</v>
      </c>
      <c r="Q18" s="20">
        <f t="shared" si="17"/>
        <v>199.88999999999996</v>
      </c>
      <c r="R18" s="20"/>
      <c r="S18" s="20">
        <f t="shared" si="19"/>
        <v>199.88999999999996</v>
      </c>
      <c r="T18" s="19">
        <f t="shared" si="18"/>
        <v>2420.8899999999994</v>
      </c>
      <c r="U18" s="21" t="s">
        <v>19</v>
      </c>
      <c r="V18" s="20">
        <f>222.1+29.54+8.44</f>
        <v>260.08</v>
      </c>
    </row>
    <row r="19" spans="1:22" ht="15.75">
      <c r="A19" s="47">
        <v>1</v>
      </c>
      <c r="B19" s="48" t="s">
        <v>47</v>
      </c>
      <c r="C19" s="49">
        <v>34</v>
      </c>
      <c r="D19" s="50">
        <v>5</v>
      </c>
      <c r="E19" s="51">
        <v>1848</v>
      </c>
      <c r="F19" s="52">
        <f>88+246.4+184.8+123.2</f>
        <v>642.40000000000009</v>
      </c>
      <c r="G19" s="52"/>
      <c r="H19" s="52"/>
      <c r="I19" s="52"/>
      <c r="J19" s="52">
        <v>2014.32</v>
      </c>
      <c r="K19" s="52"/>
      <c r="L19" s="52"/>
      <c r="M19" s="52">
        <v>92</v>
      </c>
      <c r="N19" s="52"/>
      <c r="O19" s="19">
        <f t="shared" si="15"/>
        <v>4596.72</v>
      </c>
      <c r="P19" s="19">
        <f t="shared" si="16"/>
        <v>2490.4000000000005</v>
      </c>
      <c r="Q19" s="20">
        <f t="shared" si="17"/>
        <v>224.13600000000005</v>
      </c>
      <c r="R19" s="20"/>
      <c r="S19" s="20">
        <f t="shared" si="19"/>
        <v>224.13600000000005</v>
      </c>
      <c r="T19" s="19">
        <f t="shared" si="18"/>
        <v>2714.5360000000005</v>
      </c>
      <c r="U19" s="21" t="s">
        <v>19</v>
      </c>
      <c r="V19" s="20">
        <f>249.04+33.12+9.46</f>
        <v>291.61999999999995</v>
      </c>
    </row>
    <row r="20" spans="1:22" ht="15.75">
      <c r="A20" s="22">
        <v>2</v>
      </c>
      <c r="B20" s="23" t="s">
        <v>27</v>
      </c>
      <c r="C20" s="17">
        <v>28</v>
      </c>
      <c r="D20" s="18">
        <v>5</v>
      </c>
      <c r="E20" s="19">
        <v>1899</v>
      </c>
      <c r="F20" s="20">
        <v>75</v>
      </c>
      <c r="G20" s="20"/>
      <c r="H20" s="20"/>
      <c r="I20" s="20"/>
      <c r="J20" s="20">
        <v>2151.66</v>
      </c>
      <c r="K20" s="20"/>
      <c r="L20" s="20"/>
      <c r="M20" s="20"/>
      <c r="N20" s="20"/>
      <c r="O20" s="19">
        <f t="shared" si="15"/>
        <v>4125.66</v>
      </c>
      <c r="P20" s="19">
        <f t="shared" si="16"/>
        <v>1974</v>
      </c>
      <c r="Q20" s="20">
        <f t="shared" si="17"/>
        <v>177.66</v>
      </c>
      <c r="R20" s="20"/>
      <c r="S20" s="20">
        <f t="shared" si="19"/>
        <v>177.66</v>
      </c>
      <c r="T20" s="19">
        <f t="shared" si="18"/>
        <v>2151.66</v>
      </c>
      <c r="U20" s="21" t="s">
        <v>18</v>
      </c>
      <c r="V20" s="20">
        <f>+P20*12.88%</f>
        <v>254.25119999999998</v>
      </c>
    </row>
    <row r="21" spans="1:22" ht="15.75">
      <c r="A21" s="22">
        <v>1</v>
      </c>
      <c r="B21" s="23" t="s">
        <v>25</v>
      </c>
      <c r="C21" s="17">
        <v>38</v>
      </c>
      <c r="D21" s="18">
        <v>5</v>
      </c>
      <c r="E21" s="19">
        <v>1666</v>
      </c>
      <c r="F21" s="20">
        <f>75+96+232.13+174.1+116.07</f>
        <v>693.3</v>
      </c>
      <c r="G21" s="20"/>
      <c r="H21" s="20"/>
      <c r="I21" s="20"/>
      <c r="J21" s="20">
        <v>1897.69</v>
      </c>
      <c r="K21" s="20"/>
      <c r="L21" s="20"/>
      <c r="M21" s="20">
        <v>92</v>
      </c>
      <c r="N21" s="20"/>
      <c r="O21" s="19">
        <f t="shared" si="15"/>
        <v>4348.99</v>
      </c>
      <c r="P21" s="19">
        <f t="shared" si="16"/>
        <v>2359.2999999999997</v>
      </c>
      <c r="Q21" s="20">
        <f t="shared" si="17"/>
        <v>212.33699999999996</v>
      </c>
      <c r="R21" s="20"/>
      <c r="S21" s="20">
        <f t="shared" si="19"/>
        <v>212.33699999999996</v>
      </c>
      <c r="T21" s="19">
        <f t="shared" si="18"/>
        <v>2571.6369999999997</v>
      </c>
      <c r="U21" s="21" t="s">
        <v>2</v>
      </c>
      <c r="V21" s="20">
        <f>+P21*12.93%</f>
        <v>305.05748999999997</v>
      </c>
    </row>
    <row r="22" spans="1:22" ht="15.75">
      <c r="A22" s="22">
        <v>2</v>
      </c>
      <c r="B22" s="23" t="s">
        <v>44</v>
      </c>
      <c r="C22" s="17">
        <v>26</v>
      </c>
      <c r="D22" s="18">
        <v>5</v>
      </c>
      <c r="E22" s="19">
        <v>1666</v>
      </c>
      <c r="F22" s="20">
        <f>75+88+116.07+174.1+58.03</f>
        <v>511.19999999999993</v>
      </c>
      <c r="G22" s="20"/>
      <c r="H22" s="20"/>
      <c r="I22" s="20"/>
      <c r="J22" s="20">
        <v>1897.69</v>
      </c>
      <c r="K22" s="20"/>
      <c r="L22" s="20"/>
      <c r="M22" s="20">
        <v>80.5</v>
      </c>
      <c r="N22" s="20"/>
      <c r="O22" s="19">
        <f t="shared" si="15"/>
        <v>4155.3899999999994</v>
      </c>
      <c r="P22" s="19">
        <f t="shared" si="16"/>
        <v>2177.1999999999994</v>
      </c>
      <c r="Q22" s="20">
        <f t="shared" si="17"/>
        <v>195.94799999999992</v>
      </c>
      <c r="R22" s="20"/>
      <c r="S22" s="20">
        <f t="shared" si="19"/>
        <v>195.94799999999992</v>
      </c>
      <c r="T22" s="19">
        <f t="shared" si="18"/>
        <v>2373.1479999999992</v>
      </c>
      <c r="U22" s="21" t="s">
        <v>1</v>
      </c>
      <c r="V22" s="20">
        <f>+P22*13%</f>
        <v>283.03599999999994</v>
      </c>
    </row>
    <row r="23" spans="1:22" ht="15.75">
      <c r="A23" s="22">
        <v>3</v>
      </c>
      <c r="B23" s="23" t="s">
        <v>11</v>
      </c>
      <c r="C23" s="17">
        <v>33</v>
      </c>
      <c r="D23" s="18">
        <v>5</v>
      </c>
      <c r="E23" s="19">
        <v>1899</v>
      </c>
      <c r="F23" s="20">
        <f>75+104</f>
        <v>179</v>
      </c>
      <c r="G23" s="20"/>
      <c r="H23" s="20"/>
      <c r="I23" s="20"/>
      <c r="J23" s="20">
        <v>2151.66</v>
      </c>
      <c r="K23" s="20"/>
      <c r="L23" s="20"/>
      <c r="M23" s="20"/>
      <c r="N23" s="20"/>
      <c r="O23" s="19">
        <f t="shared" si="15"/>
        <v>4229.66</v>
      </c>
      <c r="P23" s="19">
        <f t="shared" si="16"/>
        <v>2078</v>
      </c>
      <c r="Q23" s="20">
        <f t="shared" si="17"/>
        <v>187.01999999999998</v>
      </c>
      <c r="R23" s="20"/>
      <c r="S23" s="20">
        <f t="shared" si="19"/>
        <v>187.01999999999998</v>
      </c>
      <c r="T23" s="19">
        <f t="shared" si="18"/>
        <v>2265.02</v>
      </c>
      <c r="U23" s="21" t="s">
        <v>18</v>
      </c>
      <c r="V23" s="20">
        <f>207.8+27.64+25.56</f>
        <v>261</v>
      </c>
    </row>
    <row r="24" spans="1:22" ht="15.75">
      <c r="A24" s="22">
        <v>3</v>
      </c>
      <c r="B24" s="23" t="s">
        <v>45</v>
      </c>
      <c r="C24" s="17">
        <v>27</v>
      </c>
      <c r="D24" s="18">
        <v>5</v>
      </c>
      <c r="E24" s="19">
        <v>1666</v>
      </c>
      <c r="F24" s="20">
        <v>75</v>
      </c>
      <c r="G24" s="20">
        <v>150</v>
      </c>
      <c r="H24" s="20"/>
      <c r="I24" s="20"/>
      <c r="J24" s="20">
        <v>1897.69</v>
      </c>
      <c r="K24" s="20">
        <v>1741</v>
      </c>
      <c r="L24" s="20"/>
      <c r="M24" s="20"/>
      <c r="N24" s="20"/>
      <c r="O24" s="19">
        <f t="shared" si="15"/>
        <v>5529.6900000000005</v>
      </c>
      <c r="P24" s="19">
        <f t="shared" si="16"/>
        <v>3632.0000000000005</v>
      </c>
      <c r="Q24" s="20">
        <f t="shared" si="17"/>
        <v>326.88000000000005</v>
      </c>
      <c r="R24" s="20"/>
      <c r="S24" s="20">
        <f t="shared" si="19"/>
        <v>326.88000000000005</v>
      </c>
      <c r="T24" s="19">
        <f t="shared" si="18"/>
        <v>3958.8800000000006</v>
      </c>
      <c r="U24" s="21" t="s">
        <v>18</v>
      </c>
      <c r="V24" s="20">
        <f>+P24*12.88%</f>
        <v>467.80160000000006</v>
      </c>
    </row>
    <row r="25" spans="1:22" ht="15.75">
      <c r="A25" s="22">
        <v>4</v>
      </c>
      <c r="B25" s="23" t="s">
        <v>46</v>
      </c>
      <c r="C25" s="17">
        <v>57</v>
      </c>
      <c r="D25" s="18">
        <v>5</v>
      </c>
      <c r="E25" s="19">
        <v>1848</v>
      </c>
      <c r="F25" s="20">
        <f>75+104</f>
        <v>179</v>
      </c>
      <c r="G25" s="20">
        <v>150</v>
      </c>
      <c r="H25" s="20"/>
      <c r="I25" s="20"/>
      <c r="J25" s="20">
        <v>2096.0700000000002</v>
      </c>
      <c r="K25" s="20"/>
      <c r="L25" s="20"/>
      <c r="M25" s="20"/>
      <c r="N25" s="20"/>
      <c r="O25" s="19">
        <f t="shared" si="15"/>
        <v>4273.07</v>
      </c>
      <c r="P25" s="19">
        <f t="shared" si="16"/>
        <v>2176.9999999999995</v>
      </c>
      <c r="Q25" s="20">
        <f t="shared" si="17"/>
        <v>195.92999999999995</v>
      </c>
      <c r="R25" s="20"/>
      <c r="S25" s="20">
        <f t="shared" si="19"/>
        <v>195.92999999999995</v>
      </c>
      <c r="T25" s="19">
        <f t="shared" si="18"/>
        <v>2372.9299999999994</v>
      </c>
      <c r="U25" s="21" t="s">
        <v>18</v>
      </c>
      <c r="V25" s="20">
        <f>+P25*12.88%</f>
        <v>280.39759999999995</v>
      </c>
    </row>
    <row r="26" spans="1:22" ht="15.75">
      <c r="A26" s="22">
        <v>5</v>
      </c>
      <c r="B26" s="23" t="s">
        <v>41</v>
      </c>
      <c r="C26" s="17">
        <v>42</v>
      </c>
      <c r="D26" s="18">
        <v>5</v>
      </c>
      <c r="E26" s="19">
        <v>1848</v>
      </c>
      <c r="F26" s="20">
        <f>96+123.2+184.8+61.6</f>
        <v>465.6</v>
      </c>
      <c r="G26" s="20"/>
      <c r="H26" s="20"/>
      <c r="I26" s="20"/>
      <c r="J26" s="20">
        <v>2103.84</v>
      </c>
      <c r="K26" s="20"/>
      <c r="L26" s="20"/>
      <c r="M26" s="20">
        <v>92</v>
      </c>
      <c r="N26" s="20"/>
      <c r="O26" s="19">
        <f t="shared" si="15"/>
        <v>4509.4400000000005</v>
      </c>
      <c r="P26" s="19">
        <f t="shared" si="16"/>
        <v>2313.6000000000004</v>
      </c>
      <c r="Q26" s="20">
        <f t="shared" si="17"/>
        <v>208.22400000000002</v>
      </c>
      <c r="R26" s="20"/>
      <c r="S26" s="20">
        <f t="shared" si="19"/>
        <v>208.22400000000002</v>
      </c>
      <c r="T26" s="19">
        <f t="shared" si="18"/>
        <v>2521.8240000000005</v>
      </c>
      <c r="U26" s="21" t="s">
        <v>0</v>
      </c>
      <c r="V26" s="20">
        <f>+P26*13.02%</f>
        <v>301.23072000000002</v>
      </c>
    </row>
    <row r="27" spans="1:22" ht="15.75">
      <c r="A27" s="22">
        <v>5</v>
      </c>
      <c r="B27" s="23" t="s">
        <v>13</v>
      </c>
      <c r="C27" s="17">
        <v>9</v>
      </c>
      <c r="D27" s="18">
        <v>5</v>
      </c>
      <c r="E27" s="19">
        <v>1666</v>
      </c>
      <c r="F27" s="20">
        <f>75+104+50</f>
        <v>229</v>
      </c>
      <c r="G27" s="20"/>
      <c r="H27" s="20"/>
      <c r="I27" s="20"/>
      <c r="J27" s="20">
        <v>1897.69</v>
      </c>
      <c r="K27" s="20"/>
      <c r="L27" s="20"/>
      <c r="M27" s="20"/>
      <c r="N27" s="20"/>
      <c r="O27" s="19">
        <f t="shared" si="15"/>
        <v>3792.69</v>
      </c>
      <c r="P27" s="19">
        <f t="shared" si="16"/>
        <v>1895</v>
      </c>
      <c r="Q27" s="20">
        <f t="shared" si="17"/>
        <v>170.54999999999998</v>
      </c>
      <c r="R27" s="20"/>
      <c r="S27" s="20">
        <f t="shared" si="19"/>
        <v>170.54999999999998</v>
      </c>
      <c r="T27" s="19">
        <f t="shared" si="18"/>
        <v>2065.5500000000002</v>
      </c>
      <c r="U27" s="21" t="s">
        <v>0</v>
      </c>
      <c r="V27" s="20">
        <f>+P27*13.02%</f>
        <v>246.72899999999996</v>
      </c>
    </row>
    <row r="28" spans="1:22" ht="15.75">
      <c r="A28" s="22">
        <v>4</v>
      </c>
      <c r="B28" s="23" t="s">
        <v>40</v>
      </c>
      <c r="C28" s="17">
        <v>27</v>
      </c>
      <c r="D28" s="18">
        <v>5</v>
      </c>
      <c r="E28" s="19">
        <v>1848</v>
      </c>
      <c r="F28" s="20">
        <f>75+104</f>
        <v>179</v>
      </c>
      <c r="G28" s="20"/>
      <c r="H28" s="20"/>
      <c r="I28" s="20"/>
      <c r="J28" s="20">
        <v>2084.88</v>
      </c>
      <c r="K28" s="20"/>
      <c r="L28" s="20"/>
      <c r="M28" s="20"/>
      <c r="N28" s="20"/>
      <c r="O28" s="19">
        <f t="shared" si="15"/>
        <v>4111.88</v>
      </c>
      <c r="P28" s="19">
        <f t="shared" si="16"/>
        <v>2027</v>
      </c>
      <c r="Q28" s="20">
        <f t="shared" si="17"/>
        <v>182.43</v>
      </c>
      <c r="R28" s="20"/>
      <c r="S28" s="20">
        <f t="shared" si="19"/>
        <v>182.43</v>
      </c>
      <c r="T28" s="19">
        <f t="shared" si="18"/>
        <v>2209.4299999999998</v>
      </c>
      <c r="U28" s="21" t="s">
        <v>0</v>
      </c>
      <c r="V28" s="20">
        <f>+P28*13.02%</f>
        <v>263.91539999999998</v>
      </c>
    </row>
    <row r="29" spans="1:22" ht="15.75">
      <c r="A29" s="22">
        <v>7</v>
      </c>
      <c r="B29" s="23" t="s">
        <v>30</v>
      </c>
      <c r="C29" s="17">
        <v>35</v>
      </c>
      <c r="D29" s="18">
        <v>5</v>
      </c>
      <c r="E29" s="19">
        <v>1848</v>
      </c>
      <c r="F29" s="20">
        <f>76+123.2+123.2+61.6</f>
        <v>384</v>
      </c>
      <c r="G29" s="20"/>
      <c r="H29" s="20"/>
      <c r="I29" s="20"/>
      <c r="J29" s="20">
        <v>2014.32</v>
      </c>
      <c r="K29" s="20"/>
      <c r="L29" s="20"/>
      <c r="M29" s="20">
        <v>69</v>
      </c>
      <c r="N29" s="20"/>
      <c r="O29" s="19">
        <f t="shared" si="15"/>
        <v>4315.32</v>
      </c>
      <c r="P29" s="19">
        <f t="shared" si="16"/>
        <v>2232</v>
      </c>
      <c r="Q29" s="20">
        <f t="shared" si="17"/>
        <v>200.88</v>
      </c>
      <c r="R29" s="20"/>
      <c r="S29" s="20">
        <f t="shared" si="19"/>
        <v>200.88</v>
      </c>
      <c r="T29" s="19">
        <f t="shared" si="18"/>
        <v>2432.88</v>
      </c>
      <c r="U29" s="21" t="s">
        <v>18</v>
      </c>
      <c r="V29" s="20">
        <f>+P29*12.88%</f>
        <v>287.48160000000001</v>
      </c>
    </row>
    <row r="30" spans="1:22" ht="15.75">
      <c r="A30" s="22">
        <v>6</v>
      </c>
      <c r="B30" s="23" t="s">
        <v>14</v>
      </c>
      <c r="C30" s="17">
        <v>59</v>
      </c>
      <c r="D30" s="18">
        <v>5</v>
      </c>
      <c r="E30" s="19">
        <v>1951</v>
      </c>
      <c r="F30" s="20">
        <f>75+104</f>
        <v>179</v>
      </c>
      <c r="G30" s="20"/>
      <c r="H30" s="20"/>
      <c r="I30" s="20"/>
      <c r="J30" s="20">
        <v>2270.14</v>
      </c>
      <c r="K30" s="20"/>
      <c r="L30" s="20"/>
      <c r="M30" s="20"/>
      <c r="N30" s="20"/>
      <c r="O30" s="19">
        <f t="shared" si="15"/>
        <v>4400.1399999999994</v>
      </c>
      <c r="P30" s="19">
        <f t="shared" si="16"/>
        <v>2129.9999999999995</v>
      </c>
      <c r="Q30" s="20">
        <f t="shared" si="17"/>
        <v>191.69999999999996</v>
      </c>
      <c r="R30" s="20"/>
      <c r="S30" s="20">
        <f t="shared" si="19"/>
        <v>191.69999999999996</v>
      </c>
      <c r="T30" s="19">
        <f t="shared" si="18"/>
        <v>2321.6999999999994</v>
      </c>
      <c r="U30" s="21" t="s">
        <v>0</v>
      </c>
      <c r="V30" s="20">
        <f>+P30*13.02%</f>
        <v>277.32599999999991</v>
      </c>
    </row>
    <row r="31" spans="1:22" ht="15.75">
      <c r="A31" s="22">
        <v>8</v>
      </c>
      <c r="B31" s="23" t="s">
        <v>53</v>
      </c>
      <c r="C31" s="17">
        <v>20</v>
      </c>
      <c r="D31" s="18">
        <v>5</v>
      </c>
      <c r="E31" s="19">
        <v>1848</v>
      </c>
      <c r="F31" s="20">
        <f>92+246.4+246.4+123.2</f>
        <v>708</v>
      </c>
      <c r="G31" s="20"/>
      <c r="H31" s="20"/>
      <c r="I31" s="20"/>
      <c r="J31" s="20">
        <v>2014.32</v>
      </c>
      <c r="K31" s="20"/>
      <c r="L31" s="20"/>
      <c r="M31" s="20">
        <v>92</v>
      </c>
      <c r="N31" s="20"/>
      <c r="O31" s="19">
        <f t="shared" si="15"/>
        <v>4662.32</v>
      </c>
      <c r="P31" s="19">
        <f t="shared" si="16"/>
        <v>2556</v>
      </c>
      <c r="Q31" s="20">
        <f t="shared" si="17"/>
        <v>230.04</v>
      </c>
      <c r="R31" s="20"/>
      <c r="S31" s="20">
        <f t="shared" si="19"/>
        <v>230.04</v>
      </c>
      <c r="T31" s="19">
        <f t="shared" si="18"/>
        <v>2786.04</v>
      </c>
      <c r="U31" s="21" t="s">
        <v>0</v>
      </c>
      <c r="V31" s="20">
        <f>255.6+33.99+37.32</f>
        <v>326.90999999999997</v>
      </c>
    </row>
    <row r="32" spans="1:22" ht="15.75">
      <c r="A32" s="22">
        <v>6</v>
      </c>
      <c r="B32" s="23" t="s">
        <v>15</v>
      </c>
      <c r="C32" s="17">
        <v>29</v>
      </c>
      <c r="D32" s="18">
        <v>5</v>
      </c>
      <c r="E32" s="19">
        <v>1666</v>
      </c>
      <c r="F32" s="20">
        <f>75+92+232.13+174.1+116.07</f>
        <v>689.3</v>
      </c>
      <c r="G32" s="20"/>
      <c r="H32" s="20"/>
      <c r="I32" s="20"/>
      <c r="J32" s="20">
        <v>1960.95</v>
      </c>
      <c r="K32" s="20"/>
      <c r="L32" s="20"/>
      <c r="M32" s="20">
        <v>92</v>
      </c>
      <c r="N32" s="20"/>
      <c r="O32" s="19">
        <f t="shared" si="15"/>
        <v>4408.25</v>
      </c>
      <c r="P32" s="19">
        <f t="shared" si="16"/>
        <v>2355.3000000000002</v>
      </c>
      <c r="Q32" s="20">
        <f t="shared" si="17"/>
        <v>211.977</v>
      </c>
      <c r="R32" s="20"/>
      <c r="S32" s="20">
        <f t="shared" si="19"/>
        <v>211.977</v>
      </c>
      <c r="T32" s="19">
        <f t="shared" si="18"/>
        <v>2567.277</v>
      </c>
      <c r="U32" s="21" t="s">
        <v>18</v>
      </c>
      <c r="V32" s="20">
        <f>235.53+31.33+28.97</f>
        <v>295.83000000000004</v>
      </c>
    </row>
    <row r="33" spans="1:22" ht="15.75">
      <c r="A33" s="22">
        <v>9</v>
      </c>
      <c r="B33" s="23" t="s">
        <v>54</v>
      </c>
      <c r="C33" s="17">
        <v>50</v>
      </c>
      <c r="D33" s="18">
        <v>5</v>
      </c>
      <c r="E33" s="19">
        <v>1848</v>
      </c>
      <c r="F33" s="20">
        <f>75+92+128.2+192.3+64.1</f>
        <v>551.6</v>
      </c>
      <c r="G33" s="20"/>
      <c r="H33" s="20"/>
      <c r="I33" s="20"/>
      <c r="J33" s="20">
        <v>2189.23</v>
      </c>
      <c r="K33" s="20"/>
      <c r="L33" s="20"/>
      <c r="M33" s="20">
        <v>80.5</v>
      </c>
      <c r="N33" s="20"/>
      <c r="O33" s="19">
        <f t="shared" si="15"/>
        <v>4669.33</v>
      </c>
      <c r="P33" s="19">
        <f t="shared" si="16"/>
        <v>2399.6</v>
      </c>
      <c r="Q33" s="20">
        <f t="shared" si="17"/>
        <v>215.96399999999997</v>
      </c>
      <c r="R33" s="20"/>
      <c r="S33" s="20">
        <f t="shared" si="19"/>
        <v>215.96399999999997</v>
      </c>
      <c r="T33" s="19">
        <f t="shared" si="18"/>
        <v>2615.5639999999999</v>
      </c>
      <c r="U33" s="21" t="s">
        <v>1</v>
      </c>
      <c r="V33" s="20">
        <f>+P33*13%</f>
        <v>311.94799999999998</v>
      </c>
    </row>
    <row r="34" spans="1:22" ht="15.75">
      <c r="A34" s="22">
        <v>10</v>
      </c>
      <c r="B34" s="23" t="s">
        <v>55</v>
      </c>
      <c r="C34" s="17">
        <v>35</v>
      </c>
      <c r="D34" s="18">
        <v>5</v>
      </c>
      <c r="E34" s="19">
        <v>1899</v>
      </c>
      <c r="F34" s="20">
        <f>75+104+50</f>
        <v>229</v>
      </c>
      <c r="G34" s="20"/>
      <c r="H34" s="20"/>
      <c r="I34" s="20"/>
      <c r="J34" s="20">
        <v>2128.66</v>
      </c>
      <c r="K34" s="20"/>
      <c r="L34" s="20"/>
      <c r="M34" s="20"/>
      <c r="N34" s="20"/>
      <c r="O34" s="19">
        <f t="shared" si="15"/>
        <v>4256.66</v>
      </c>
      <c r="P34" s="19">
        <f t="shared" si="16"/>
        <v>2128</v>
      </c>
      <c r="Q34" s="20">
        <f t="shared" si="17"/>
        <v>191.51999999999998</v>
      </c>
      <c r="R34" s="20"/>
      <c r="S34" s="20">
        <f t="shared" si="19"/>
        <v>191.51999999999998</v>
      </c>
      <c r="T34" s="19">
        <f t="shared" si="18"/>
        <v>2319.52</v>
      </c>
      <c r="U34" s="21" t="s">
        <v>18</v>
      </c>
      <c r="V34" s="20">
        <f>+P34*12.88%</f>
        <v>274.08639999999997</v>
      </c>
    </row>
  </sheetData>
  <sortState ref="A18:V33">
    <sortCondition ref="B18"/>
  </sortState>
  <pageMargins left="0.21" right="0.17" top="0.31" bottom="0.74803149606299213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V34"/>
  <sheetViews>
    <sheetView workbookViewId="0">
      <selection activeCell="A2" sqref="A2:N2"/>
    </sheetView>
  </sheetViews>
  <sheetFormatPr baseColWidth="10" defaultRowHeight="15"/>
  <cols>
    <col min="1" max="1" width="4.140625" customWidth="1"/>
    <col min="2" max="2" width="20.7109375" customWidth="1"/>
    <col min="3" max="3" width="4.140625" customWidth="1"/>
    <col min="4" max="4" width="4" customWidth="1"/>
    <col min="5" max="5" width="9.28515625" customWidth="1"/>
    <col min="6" max="7" width="8.28515625" customWidth="1"/>
    <col min="8" max="8" width="5.7109375" customWidth="1"/>
    <col min="9" max="9" width="6" customWidth="1"/>
    <col min="10" max="10" width="5.7109375" customWidth="1"/>
    <col min="11" max="11" width="8.28515625" customWidth="1"/>
    <col min="12" max="12" width="7" customWidth="1"/>
    <col min="13" max="13" width="6.42578125" customWidth="1"/>
    <col min="14" max="14" width="8.42578125" customWidth="1"/>
    <col min="15" max="16" width="9.28515625" customWidth="1"/>
    <col min="17" max="17" width="8.28515625" customWidth="1"/>
    <col min="18" max="18" width="5.5703125" customWidth="1"/>
    <col min="19" max="19" width="8.28515625" customWidth="1"/>
    <col min="20" max="20" width="9.5703125" customWidth="1"/>
    <col min="21" max="21" width="7.28515625" customWidth="1"/>
    <col min="22" max="22" width="8.140625" customWidth="1"/>
  </cols>
  <sheetData>
    <row r="1" spans="1:22" ht="15.75">
      <c r="A1" s="63">
        <v>1</v>
      </c>
      <c r="B1" s="64" t="s">
        <v>33</v>
      </c>
      <c r="C1" s="24">
        <v>180</v>
      </c>
      <c r="D1" s="25">
        <v>5</v>
      </c>
      <c r="E1" s="26">
        <v>2241</v>
      </c>
      <c r="F1" s="27"/>
      <c r="G1" s="27"/>
      <c r="H1" s="27"/>
      <c r="I1" s="27"/>
      <c r="J1" s="27"/>
      <c r="K1" s="27"/>
      <c r="L1" s="27"/>
      <c r="M1" s="27"/>
      <c r="N1" s="27">
        <v>1054</v>
      </c>
      <c r="O1" s="19">
        <f>SUM(E1:N1)</f>
        <v>3295</v>
      </c>
      <c r="P1" s="19">
        <f>O1-M1-J1</f>
        <v>3295</v>
      </c>
      <c r="Q1" s="20">
        <f>P1*9%</f>
        <v>296.55</v>
      </c>
      <c r="R1" s="20"/>
      <c r="S1" s="20">
        <f>Q1+R1</f>
        <v>296.55</v>
      </c>
      <c r="T1" s="19">
        <f>P1+S1</f>
        <v>3591.55</v>
      </c>
      <c r="U1" s="21" t="s">
        <v>0</v>
      </c>
      <c r="V1" s="20">
        <f>+P1*13.02%</f>
        <v>429.00899999999996</v>
      </c>
    </row>
    <row r="2" spans="1:22" ht="16.5" thickBot="1">
      <c r="A2" s="53">
        <v>1</v>
      </c>
      <c r="B2" s="54" t="s">
        <v>56</v>
      </c>
      <c r="C2" s="55"/>
      <c r="D2" s="56"/>
      <c r="E2" s="57"/>
      <c r="F2" s="58"/>
      <c r="G2" s="58"/>
      <c r="H2" s="58"/>
      <c r="I2" s="58"/>
      <c r="J2" s="58"/>
      <c r="K2" s="58"/>
      <c r="L2" s="58"/>
      <c r="M2" s="58"/>
      <c r="N2" s="58"/>
      <c r="O2" s="19"/>
      <c r="P2" s="19"/>
      <c r="Q2" s="20"/>
      <c r="R2" s="20"/>
      <c r="S2" s="20"/>
      <c r="T2" s="19"/>
      <c r="U2" s="21"/>
      <c r="V2" s="20"/>
    </row>
    <row r="3" spans="1:22" ht="15.75">
      <c r="A3" s="47">
        <v>1</v>
      </c>
      <c r="B3" s="48" t="s">
        <v>3</v>
      </c>
      <c r="C3" s="49">
        <v>83</v>
      </c>
      <c r="D3" s="50">
        <v>5</v>
      </c>
      <c r="E3" s="51">
        <v>2241</v>
      </c>
      <c r="F3" s="52">
        <v>75</v>
      </c>
      <c r="G3" s="52">
        <v>250</v>
      </c>
      <c r="H3" s="52"/>
      <c r="I3" s="52"/>
      <c r="J3" s="52"/>
      <c r="K3" s="52"/>
      <c r="L3" s="52"/>
      <c r="M3" s="52"/>
      <c r="N3" s="52"/>
      <c r="O3" s="19">
        <f>SUM(E3:N3)</f>
        <v>2566</v>
      </c>
      <c r="P3" s="19">
        <f>O3-M3-J3</f>
        <v>2566</v>
      </c>
      <c r="Q3" s="20">
        <f>P3*9%</f>
        <v>230.94</v>
      </c>
      <c r="R3" s="20"/>
      <c r="S3" s="20">
        <f>Q3+R3</f>
        <v>230.94</v>
      </c>
      <c r="T3" s="19">
        <f>P3+S3</f>
        <v>2796.94</v>
      </c>
      <c r="U3" s="21" t="s">
        <v>2</v>
      </c>
      <c r="V3" s="20">
        <f>+P3*12.93%</f>
        <v>331.78379999999999</v>
      </c>
    </row>
    <row r="4" spans="1:22" ht="16.5" thickBot="1">
      <c r="A4" s="53">
        <v>2</v>
      </c>
      <c r="B4" s="54" t="s">
        <v>56</v>
      </c>
      <c r="C4" s="55">
        <v>180</v>
      </c>
      <c r="D4" s="56">
        <v>5</v>
      </c>
      <c r="E4" s="57">
        <v>2920</v>
      </c>
      <c r="F4" s="58">
        <v>75</v>
      </c>
      <c r="G4" s="58">
        <v>300</v>
      </c>
      <c r="H4" s="58"/>
      <c r="I4" s="58"/>
      <c r="J4" s="58"/>
      <c r="K4" s="58"/>
      <c r="L4" s="58"/>
      <c r="M4" s="58"/>
      <c r="N4" s="58"/>
      <c r="O4" s="26">
        <f t="shared" ref="O4" si="0">SUM(E4:N4)</f>
        <v>3295</v>
      </c>
      <c r="P4" s="26">
        <f t="shared" ref="P4" si="1">O4-M4-J4</f>
        <v>3295</v>
      </c>
      <c r="Q4" s="27">
        <f t="shared" ref="Q4" si="2">P4*9%</f>
        <v>296.55</v>
      </c>
      <c r="R4" s="27"/>
      <c r="S4" s="27">
        <f t="shared" ref="S4" si="3">Q4+R4</f>
        <v>296.55</v>
      </c>
      <c r="T4" s="26">
        <f t="shared" ref="T4" si="4">P4+S4</f>
        <v>3591.55</v>
      </c>
      <c r="U4" s="28" t="s">
        <v>57</v>
      </c>
      <c r="V4" s="27">
        <f>329.5+43.82+48.11</f>
        <v>421.43</v>
      </c>
    </row>
    <row r="5" spans="1:22" ht="15.75">
      <c r="A5" s="47">
        <v>1</v>
      </c>
      <c r="B5" s="48" t="s">
        <v>51</v>
      </c>
      <c r="C5" s="49">
        <v>43</v>
      </c>
      <c r="D5" s="50">
        <v>5</v>
      </c>
      <c r="E5" s="51">
        <v>1789</v>
      </c>
      <c r="F5" s="52">
        <v>75</v>
      </c>
      <c r="G5" s="52">
        <v>150</v>
      </c>
      <c r="H5" s="52"/>
      <c r="I5" s="52"/>
      <c r="J5" s="52"/>
      <c r="K5" s="52"/>
      <c r="L5" s="52"/>
      <c r="M5" s="52"/>
      <c r="N5" s="52">
        <v>110</v>
      </c>
      <c r="O5" s="19">
        <f>SUM(E5:N5)</f>
        <v>2124</v>
      </c>
      <c r="P5" s="19">
        <f>O5-M5-J5</f>
        <v>2124</v>
      </c>
      <c r="Q5" s="20">
        <f>P5*9%</f>
        <v>191.16</v>
      </c>
      <c r="R5" s="20"/>
      <c r="S5" s="20">
        <f>Q5+R5</f>
        <v>191.16</v>
      </c>
      <c r="T5" s="19">
        <f>P5+S5</f>
        <v>2315.16</v>
      </c>
      <c r="U5" s="21" t="s">
        <v>0</v>
      </c>
      <c r="V5" s="20">
        <f>+P5*13.02%</f>
        <v>276.54479999999995</v>
      </c>
    </row>
    <row r="6" spans="1:22" ht="16.5" thickBot="1">
      <c r="A6" s="73">
        <v>2</v>
      </c>
      <c r="B6" s="74" t="s">
        <v>24</v>
      </c>
      <c r="C6" s="59"/>
      <c r="D6" s="60"/>
      <c r="E6" s="61"/>
      <c r="F6" s="62"/>
      <c r="G6" s="62"/>
      <c r="H6" s="62"/>
      <c r="I6" s="62"/>
      <c r="J6" s="62"/>
      <c r="K6" s="62"/>
      <c r="L6" s="62"/>
      <c r="M6" s="62"/>
      <c r="N6" s="62"/>
      <c r="O6" s="19"/>
      <c r="P6" s="19"/>
      <c r="Q6" s="20"/>
      <c r="R6" s="20"/>
      <c r="S6" s="20"/>
      <c r="T6" s="19"/>
      <c r="U6" s="21"/>
      <c r="V6" s="20"/>
    </row>
    <row r="7" spans="1:22" ht="15.75">
      <c r="A7" s="47">
        <v>1</v>
      </c>
      <c r="B7" s="48" t="s">
        <v>5</v>
      </c>
      <c r="C7" s="49">
        <v>69</v>
      </c>
      <c r="D7" s="50">
        <v>5</v>
      </c>
      <c r="E7" s="51">
        <v>1899</v>
      </c>
      <c r="F7" s="52">
        <f>75+100+50</f>
        <v>225</v>
      </c>
      <c r="G7" s="52">
        <v>300</v>
      </c>
      <c r="H7" s="52"/>
      <c r="I7" s="52">
        <v>18.55</v>
      </c>
      <c r="J7" s="52"/>
      <c r="K7" s="52"/>
      <c r="L7" s="52"/>
      <c r="M7" s="52"/>
      <c r="N7" s="52"/>
      <c r="O7" s="19">
        <f>SUM(E7:N7)</f>
        <v>2442.5500000000002</v>
      </c>
      <c r="P7" s="19">
        <f>O7-M7-J7</f>
        <v>2442.5500000000002</v>
      </c>
      <c r="Q7" s="20">
        <f>P7*9%</f>
        <v>219.8295</v>
      </c>
      <c r="R7" s="20"/>
      <c r="S7" s="20">
        <f>Q7+R7</f>
        <v>219.8295</v>
      </c>
      <c r="T7" s="19">
        <f>P7+S7</f>
        <v>2662.3795</v>
      </c>
      <c r="U7" s="21" t="s">
        <v>0</v>
      </c>
      <c r="V7" s="20">
        <f>+P7*13.02%</f>
        <v>318.02000999999996</v>
      </c>
    </row>
    <row r="8" spans="1:22" ht="15.75">
      <c r="A8" s="22">
        <v>2</v>
      </c>
      <c r="B8" s="23" t="s">
        <v>34</v>
      </c>
      <c r="C8" s="17">
        <v>78</v>
      </c>
      <c r="D8" s="18">
        <v>5</v>
      </c>
      <c r="E8" s="19">
        <v>1666</v>
      </c>
      <c r="F8" s="20">
        <f>75+232.12+174.1+116.07</f>
        <v>597.29</v>
      </c>
      <c r="G8" s="20">
        <v>250</v>
      </c>
      <c r="H8" s="20"/>
      <c r="I8" s="20"/>
      <c r="J8" s="20"/>
      <c r="K8" s="20"/>
      <c r="L8" s="20"/>
      <c r="M8" s="20">
        <v>92</v>
      </c>
      <c r="N8" s="20">
        <v>233</v>
      </c>
      <c r="O8" s="19">
        <f t="shared" ref="O8:O10" si="5">SUM(E8:N8)</f>
        <v>2838.29</v>
      </c>
      <c r="P8" s="19">
        <f t="shared" ref="P8:P10" si="6">O8-M8-J8</f>
        <v>2746.29</v>
      </c>
      <c r="Q8" s="20">
        <f t="shared" ref="Q8:Q10" si="7">P8*9%</f>
        <v>247.1661</v>
      </c>
      <c r="R8" s="20"/>
      <c r="S8" s="20">
        <f t="shared" ref="S8:S10" si="8">Q8+R8</f>
        <v>247.1661</v>
      </c>
      <c r="T8" s="19">
        <f t="shared" ref="T8:T10" si="9">P8+S8</f>
        <v>2993.4560999999999</v>
      </c>
      <c r="U8" s="21" t="s">
        <v>18</v>
      </c>
      <c r="V8" s="20">
        <f>+P8*12.88%</f>
        <v>353.72215199999999</v>
      </c>
    </row>
    <row r="9" spans="1:22" ht="15.75">
      <c r="A9" s="22">
        <v>3</v>
      </c>
      <c r="B9" s="23" t="s">
        <v>7</v>
      </c>
      <c r="C9" s="17">
        <v>47</v>
      </c>
      <c r="D9" s="18">
        <v>5</v>
      </c>
      <c r="E9" s="19">
        <v>1727</v>
      </c>
      <c r="F9" s="20">
        <f>75+96+50</f>
        <v>221</v>
      </c>
      <c r="G9" s="20">
        <v>200</v>
      </c>
      <c r="H9" s="20"/>
      <c r="I9" s="20"/>
      <c r="J9" s="20"/>
      <c r="K9" s="20"/>
      <c r="L9" s="20"/>
      <c r="M9" s="20"/>
      <c r="N9" s="20">
        <v>121</v>
      </c>
      <c r="O9" s="19">
        <f t="shared" si="5"/>
        <v>2269</v>
      </c>
      <c r="P9" s="19">
        <f t="shared" si="6"/>
        <v>2269</v>
      </c>
      <c r="Q9" s="20">
        <f t="shared" si="7"/>
        <v>204.20999999999998</v>
      </c>
      <c r="R9" s="20"/>
      <c r="S9" s="20">
        <f t="shared" si="8"/>
        <v>204.20999999999998</v>
      </c>
      <c r="T9" s="19">
        <f t="shared" si="9"/>
        <v>2473.21</v>
      </c>
      <c r="U9" s="21" t="s">
        <v>2</v>
      </c>
      <c r="V9" s="20">
        <f>+P9*12.93%</f>
        <v>293.38170000000002</v>
      </c>
    </row>
    <row r="10" spans="1:22" ht="16.5" thickBot="1">
      <c r="A10" s="53">
        <v>4</v>
      </c>
      <c r="B10" s="54" t="s">
        <v>8</v>
      </c>
      <c r="C10" s="55">
        <v>56</v>
      </c>
      <c r="D10" s="56">
        <v>5</v>
      </c>
      <c r="E10" s="57">
        <v>1951</v>
      </c>
      <c r="F10" s="58">
        <v>75</v>
      </c>
      <c r="G10" s="58">
        <v>150</v>
      </c>
      <c r="H10" s="58"/>
      <c r="I10" s="58"/>
      <c r="J10" s="58"/>
      <c r="K10" s="58">
        <v>2026</v>
      </c>
      <c r="L10" s="58"/>
      <c r="M10" s="58"/>
      <c r="N10" s="58"/>
      <c r="O10" s="19">
        <f t="shared" si="5"/>
        <v>4202</v>
      </c>
      <c r="P10" s="19">
        <f t="shared" si="6"/>
        <v>4202</v>
      </c>
      <c r="Q10" s="20">
        <f t="shared" si="7"/>
        <v>378.18</v>
      </c>
      <c r="R10" s="20"/>
      <c r="S10" s="20">
        <f t="shared" si="8"/>
        <v>378.18</v>
      </c>
      <c r="T10" s="19">
        <f t="shared" si="9"/>
        <v>4580.18</v>
      </c>
      <c r="U10" s="21" t="s">
        <v>18</v>
      </c>
      <c r="V10" s="20">
        <f>+P10*12.88%</f>
        <v>541.21759999999995</v>
      </c>
    </row>
    <row r="11" spans="1:22" ht="15.75">
      <c r="A11" s="47">
        <v>1</v>
      </c>
      <c r="B11" s="48" t="s">
        <v>35</v>
      </c>
      <c r="C11" s="49">
        <v>15</v>
      </c>
      <c r="D11" s="50">
        <v>5</v>
      </c>
      <c r="E11" s="51">
        <v>905</v>
      </c>
      <c r="F11" s="52">
        <f>75+104</f>
        <v>179</v>
      </c>
      <c r="G11" s="52"/>
      <c r="H11" s="52"/>
      <c r="I11" s="52"/>
      <c r="J11" s="52"/>
      <c r="K11" s="52"/>
      <c r="L11" s="52"/>
      <c r="M11" s="52"/>
      <c r="N11" s="52">
        <v>761</v>
      </c>
      <c r="O11" s="19">
        <f>SUM(E11:N11)</f>
        <v>1845</v>
      </c>
      <c r="P11" s="19">
        <f>O11-M11-J11</f>
        <v>1845</v>
      </c>
      <c r="Q11" s="20">
        <f>P11*9%</f>
        <v>166.04999999999998</v>
      </c>
      <c r="R11" s="20"/>
      <c r="S11" s="20">
        <f>Q11+R11</f>
        <v>166.04999999999998</v>
      </c>
      <c r="T11" s="19">
        <f>P11+S11</f>
        <v>2011.05</v>
      </c>
      <c r="U11" s="21" t="s">
        <v>0</v>
      </c>
      <c r="V11" s="20">
        <f>+P11*13.02%</f>
        <v>240.21899999999997</v>
      </c>
    </row>
    <row r="12" spans="1:22" ht="15.75">
      <c r="A12" s="22">
        <v>2</v>
      </c>
      <c r="B12" s="23" t="s">
        <v>48</v>
      </c>
      <c r="C12" s="17">
        <v>14</v>
      </c>
      <c r="D12" s="18"/>
      <c r="E12" s="19">
        <v>880</v>
      </c>
      <c r="F12" s="20">
        <v>100</v>
      </c>
      <c r="G12" s="20"/>
      <c r="H12" s="20"/>
      <c r="I12" s="20"/>
      <c r="J12" s="20"/>
      <c r="K12" s="20"/>
      <c r="L12" s="20"/>
      <c r="M12" s="20"/>
      <c r="N12" s="20">
        <v>786</v>
      </c>
      <c r="O12" s="19">
        <f t="shared" ref="O12:O13" si="10">SUM(E12:N12)</f>
        <v>1766</v>
      </c>
      <c r="P12" s="19">
        <f t="shared" ref="P12:P13" si="11">O12-M12-J12</f>
        <v>1766</v>
      </c>
      <c r="Q12" s="20">
        <f t="shared" ref="Q12:Q13" si="12">P12*9%</f>
        <v>158.94</v>
      </c>
      <c r="R12" s="20"/>
      <c r="S12" s="20">
        <f t="shared" ref="S12:S13" si="13">Q12+R12</f>
        <v>158.94</v>
      </c>
      <c r="T12" s="19">
        <f t="shared" ref="T12:T13" si="14">P12+S12</f>
        <v>1924.94</v>
      </c>
      <c r="U12" s="21" t="s">
        <v>2</v>
      </c>
      <c r="V12" s="20">
        <f>+P12*12.93%</f>
        <v>228.34379999999999</v>
      </c>
    </row>
    <row r="13" spans="1:22" ht="16.5" thickBot="1">
      <c r="A13" s="53">
        <v>3</v>
      </c>
      <c r="B13" s="54" t="s">
        <v>49</v>
      </c>
      <c r="C13" s="55"/>
      <c r="D13" s="56">
        <v>5</v>
      </c>
      <c r="E13" s="57">
        <v>905</v>
      </c>
      <c r="F13" s="58">
        <v>100</v>
      </c>
      <c r="G13" s="58"/>
      <c r="H13" s="58"/>
      <c r="I13" s="58"/>
      <c r="J13" s="58"/>
      <c r="K13" s="58"/>
      <c r="L13" s="58"/>
      <c r="M13" s="58"/>
      <c r="N13" s="58">
        <v>761</v>
      </c>
      <c r="O13" s="19">
        <f t="shared" si="10"/>
        <v>1766</v>
      </c>
      <c r="P13" s="19">
        <f t="shared" si="11"/>
        <v>1766</v>
      </c>
      <c r="Q13" s="20">
        <f t="shared" si="12"/>
        <v>158.94</v>
      </c>
      <c r="R13" s="20"/>
      <c r="S13" s="20">
        <f t="shared" si="13"/>
        <v>158.94</v>
      </c>
      <c r="T13" s="19">
        <f t="shared" si="14"/>
        <v>1924.94</v>
      </c>
      <c r="U13" s="21" t="s">
        <v>2</v>
      </c>
      <c r="V13" s="20">
        <f>+P13*12.93%</f>
        <v>228.34379999999999</v>
      </c>
    </row>
    <row r="14" spans="1:22" ht="15.75">
      <c r="A14" s="47">
        <v>1</v>
      </c>
      <c r="B14" s="48" t="s">
        <v>38</v>
      </c>
      <c r="C14" s="49"/>
      <c r="D14" s="50"/>
      <c r="E14" s="51"/>
      <c r="F14" s="52"/>
      <c r="G14" s="52"/>
      <c r="H14" s="52"/>
      <c r="I14" s="52"/>
      <c r="J14" s="52"/>
      <c r="K14" s="52"/>
      <c r="L14" s="52"/>
      <c r="M14" s="52"/>
      <c r="N14" s="52"/>
      <c r="O14" s="19"/>
      <c r="P14" s="19"/>
      <c r="Q14" s="20"/>
      <c r="R14" s="20"/>
      <c r="S14" s="20"/>
      <c r="T14" s="19"/>
      <c r="U14" s="21"/>
      <c r="V14" s="20"/>
    </row>
    <row r="15" spans="1:22" ht="15.75">
      <c r="A15" s="22">
        <v>2</v>
      </c>
      <c r="B15" s="23" t="s">
        <v>26</v>
      </c>
      <c r="C15" s="49"/>
      <c r="D15" s="50"/>
      <c r="E15" s="51"/>
      <c r="F15" s="52"/>
      <c r="G15" s="52"/>
      <c r="H15" s="52"/>
      <c r="I15" s="52"/>
      <c r="J15" s="52"/>
      <c r="K15" s="52"/>
      <c r="L15" s="52"/>
      <c r="M15" s="52"/>
      <c r="N15" s="52"/>
      <c r="O15" s="19"/>
      <c r="P15" s="19"/>
      <c r="Q15" s="20"/>
      <c r="R15" s="20"/>
      <c r="S15" s="20"/>
      <c r="T15" s="19"/>
      <c r="U15" s="21"/>
      <c r="V15" s="20"/>
    </row>
    <row r="16" spans="1:22" ht="15.75">
      <c r="A16" s="47">
        <v>1</v>
      </c>
      <c r="B16" s="87" t="s">
        <v>58</v>
      </c>
      <c r="C16" s="49"/>
      <c r="D16" s="50"/>
      <c r="E16" s="51"/>
      <c r="F16" s="52"/>
      <c r="G16" s="52"/>
      <c r="H16" s="52"/>
      <c r="I16" s="52"/>
      <c r="J16" s="52"/>
      <c r="K16" s="52"/>
      <c r="L16" s="52"/>
      <c r="M16" s="52"/>
      <c r="N16" s="52"/>
      <c r="O16" s="19"/>
      <c r="P16" s="19"/>
      <c r="Q16" s="20"/>
      <c r="R16" s="20"/>
      <c r="S16" s="20"/>
      <c r="T16" s="19"/>
      <c r="U16" s="21"/>
      <c r="V16" s="20"/>
    </row>
    <row r="17" spans="1:22" ht="15.75">
      <c r="A17" s="47">
        <v>1</v>
      </c>
      <c r="B17" s="48" t="s">
        <v>32</v>
      </c>
      <c r="C17" s="49">
        <v>11</v>
      </c>
      <c r="D17" s="50">
        <v>5</v>
      </c>
      <c r="E17" s="51">
        <v>1899</v>
      </c>
      <c r="F17" s="52">
        <v>100</v>
      </c>
      <c r="G17" s="52"/>
      <c r="H17" s="52"/>
      <c r="I17" s="52"/>
      <c r="J17" s="52"/>
      <c r="K17" s="52"/>
      <c r="L17" s="52"/>
      <c r="M17" s="52"/>
      <c r="N17" s="52"/>
      <c r="O17" s="19">
        <f t="shared" ref="O17:O34" si="15">SUM(E17:N17)</f>
        <v>1999</v>
      </c>
      <c r="P17" s="19">
        <f t="shared" ref="P17:P34" si="16">O17-M17-J17</f>
        <v>1999</v>
      </c>
      <c r="Q17" s="20">
        <f t="shared" ref="Q17:Q34" si="17">P17*9%</f>
        <v>179.91</v>
      </c>
      <c r="R17" s="20"/>
      <c r="S17" s="20">
        <f t="shared" ref="S17:S34" si="18">Q17+R17</f>
        <v>179.91</v>
      </c>
      <c r="T17" s="19">
        <f t="shared" ref="T17:T34" si="19">P17+S17</f>
        <v>2178.91</v>
      </c>
      <c r="U17" s="21" t="s">
        <v>19</v>
      </c>
      <c r="V17" s="20">
        <f>199.9+26.59+7.6</f>
        <v>234.09</v>
      </c>
    </row>
    <row r="18" spans="1:22" ht="16.5" thickBot="1">
      <c r="A18" s="53">
        <v>1</v>
      </c>
      <c r="B18" s="54" t="s">
        <v>52</v>
      </c>
      <c r="C18" s="55">
        <v>62</v>
      </c>
      <c r="D18" s="56">
        <v>5</v>
      </c>
      <c r="E18" s="57">
        <v>2121</v>
      </c>
      <c r="F18" s="58">
        <v>88</v>
      </c>
      <c r="G18" s="58"/>
      <c r="H18" s="58"/>
      <c r="I18" s="58"/>
      <c r="J18" s="58"/>
      <c r="K18" s="58"/>
      <c r="L18" s="58"/>
      <c r="M18" s="58"/>
      <c r="N18" s="58"/>
      <c r="O18" s="19">
        <f t="shared" si="15"/>
        <v>2209</v>
      </c>
      <c r="P18" s="19">
        <f t="shared" si="16"/>
        <v>2209</v>
      </c>
      <c r="Q18" s="20">
        <f t="shared" si="17"/>
        <v>198.81</v>
      </c>
      <c r="R18" s="20"/>
      <c r="S18" s="20">
        <f t="shared" si="18"/>
        <v>198.81</v>
      </c>
      <c r="T18" s="19">
        <f t="shared" si="19"/>
        <v>2407.81</v>
      </c>
      <c r="U18" s="21" t="s">
        <v>19</v>
      </c>
      <c r="V18" s="20">
        <f>220.9+29.38+8.39</f>
        <v>258.67</v>
      </c>
    </row>
    <row r="19" spans="1:22" ht="15.75">
      <c r="A19" s="47">
        <v>1</v>
      </c>
      <c r="B19" s="48" t="s">
        <v>47</v>
      </c>
      <c r="C19" s="49">
        <v>47</v>
      </c>
      <c r="D19" s="50">
        <v>5</v>
      </c>
      <c r="E19" s="51">
        <v>1848</v>
      </c>
      <c r="F19" s="52">
        <f>96+123.2+184.8+61.6</f>
        <v>465.6</v>
      </c>
      <c r="G19" s="52"/>
      <c r="H19" s="52"/>
      <c r="I19" s="52"/>
      <c r="J19" s="52"/>
      <c r="K19" s="52"/>
      <c r="L19" s="52"/>
      <c r="M19" s="52">
        <v>92</v>
      </c>
      <c r="N19" s="52"/>
      <c r="O19" s="19">
        <f t="shared" si="15"/>
        <v>2405.6</v>
      </c>
      <c r="P19" s="19">
        <f t="shared" si="16"/>
        <v>2313.6</v>
      </c>
      <c r="Q19" s="20">
        <f t="shared" si="17"/>
        <v>208.22399999999999</v>
      </c>
      <c r="R19" s="20"/>
      <c r="S19" s="20">
        <f t="shared" si="18"/>
        <v>208.22399999999999</v>
      </c>
      <c r="T19" s="19">
        <f t="shared" si="19"/>
        <v>2521.8240000000001</v>
      </c>
      <c r="U19" s="21" t="s">
        <v>19</v>
      </c>
      <c r="V19" s="20">
        <f>231.36+30.77+8.79</f>
        <v>270.92</v>
      </c>
    </row>
    <row r="20" spans="1:22" ht="15.75">
      <c r="A20" s="22">
        <v>2</v>
      </c>
      <c r="B20" s="23" t="s">
        <v>27</v>
      </c>
      <c r="C20" s="17">
        <v>28</v>
      </c>
      <c r="D20" s="18">
        <v>5</v>
      </c>
      <c r="E20" s="19">
        <v>1899</v>
      </c>
      <c r="F20" s="20">
        <f>75+263.2+50</f>
        <v>388.2</v>
      </c>
      <c r="G20" s="20"/>
      <c r="H20" s="20"/>
      <c r="I20" s="20"/>
      <c r="J20" s="20"/>
      <c r="K20" s="20"/>
      <c r="L20" s="20"/>
      <c r="M20" s="20"/>
      <c r="N20" s="20"/>
      <c r="O20" s="19">
        <f t="shared" si="15"/>
        <v>2287.1999999999998</v>
      </c>
      <c r="P20" s="19">
        <f t="shared" si="16"/>
        <v>2287.1999999999998</v>
      </c>
      <c r="Q20" s="20">
        <f t="shared" si="17"/>
        <v>205.84799999999998</v>
      </c>
      <c r="R20" s="20"/>
      <c r="S20" s="20">
        <f t="shared" si="18"/>
        <v>205.84799999999998</v>
      </c>
      <c r="T20" s="19">
        <f t="shared" si="19"/>
        <v>2493.0479999999998</v>
      </c>
      <c r="U20" s="21" t="s">
        <v>18</v>
      </c>
      <c r="V20" s="20">
        <f>+P20*12.88%</f>
        <v>294.59135999999995</v>
      </c>
    </row>
    <row r="21" spans="1:22" ht="15.75">
      <c r="A21" s="22">
        <v>1</v>
      </c>
      <c r="B21" s="23" t="s">
        <v>25</v>
      </c>
      <c r="C21" s="17">
        <v>49</v>
      </c>
      <c r="D21" s="18">
        <v>5</v>
      </c>
      <c r="E21" s="19">
        <v>1666</v>
      </c>
      <c r="F21" s="20">
        <f>75+92+116.06+174.1+58.03</f>
        <v>515.18999999999994</v>
      </c>
      <c r="G21" s="20"/>
      <c r="H21" s="20"/>
      <c r="I21" s="20"/>
      <c r="J21" s="20"/>
      <c r="K21" s="20"/>
      <c r="L21" s="20"/>
      <c r="M21" s="20">
        <v>80.5</v>
      </c>
      <c r="N21" s="20"/>
      <c r="O21" s="19">
        <f t="shared" si="15"/>
        <v>2261.69</v>
      </c>
      <c r="P21" s="19">
        <f t="shared" si="16"/>
        <v>2181.19</v>
      </c>
      <c r="Q21" s="20">
        <f t="shared" si="17"/>
        <v>196.30709999999999</v>
      </c>
      <c r="R21" s="20"/>
      <c r="S21" s="20">
        <f t="shared" si="18"/>
        <v>196.30709999999999</v>
      </c>
      <c r="T21" s="19">
        <f t="shared" si="19"/>
        <v>2377.4971</v>
      </c>
      <c r="U21" s="21" t="s">
        <v>2</v>
      </c>
      <c r="V21" s="20">
        <f>+P21*12.93%</f>
        <v>282.02786700000001</v>
      </c>
    </row>
    <row r="22" spans="1:22" ht="15.75">
      <c r="A22" s="22">
        <v>2</v>
      </c>
      <c r="B22" s="23" t="s">
        <v>44</v>
      </c>
      <c r="C22" s="17">
        <v>33</v>
      </c>
      <c r="D22" s="18">
        <v>5</v>
      </c>
      <c r="E22" s="19">
        <v>1666</v>
      </c>
      <c r="F22" s="20">
        <f>75+92+232.12+174.1+116.07</f>
        <v>689.29</v>
      </c>
      <c r="G22" s="20"/>
      <c r="H22" s="20"/>
      <c r="I22" s="20"/>
      <c r="J22" s="20"/>
      <c r="K22" s="20"/>
      <c r="L22" s="20"/>
      <c r="M22" s="20">
        <v>92</v>
      </c>
      <c r="N22" s="20"/>
      <c r="O22" s="19">
        <f t="shared" si="15"/>
        <v>2447.29</v>
      </c>
      <c r="P22" s="19">
        <f t="shared" si="16"/>
        <v>2355.29</v>
      </c>
      <c r="Q22" s="20">
        <f t="shared" si="17"/>
        <v>211.9761</v>
      </c>
      <c r="R22" s="20"/>
      <c r="S22" s="20">
        <f t="shared" si="18"/>
        <v>211.9761</v>
      </c>
      <c r="T22" s="19">
        <f t="shared" si="19"/>
        <v>2567.2660999999998</v>
      </c>
      <c r="U22" s="21" t="s">
        <v>1</v>
      </c>
      <c r="V22" s="20">
        <f>+P22*13%</f>
        <v>306.18770000000001</v>
      </c>
    </row>
    <row r="23" spans="1:22" ht="15.75">
      <c r="A23" s="22">
        <v>3</v>
      </c>
      <c r="B23" s="23" t="s">
        <v>11</v>
      </c>
      <c r="C23" s="17">
        <v>35</v>
      </c>
      <c r="D23" s="18">
        <v>5</v>
      </c>
      <c r="E23" s="19">
        <v>1899</v>
      </c>
      <c r="F23" s="20">
        <f>75+100</f>
        <v>175</v>
      </c>
      <c r="G23" s="20"/>
      <c r="H23" s="20"/>
      <c r="I23" s="20"/>
      <c r="J23" s="20"/>
      <c r="K23" s="20"/>
      <c r="L23" s="20"/>
      <c r="M23" s="20"/>
      <c r="N23" s="20"/>
      <c r="O23" s="19">
        <f t="shared" si="15"/>
        <v>2074</v>
      </c>
      <c r="P23" s="19">
        <f t="shared" si="16"/>
        <v>2074</v>
      </c>
      <c r="Q23" s="20">
        <f t="shared" si="17"/>
        <v>186.66</v>
      </c>
      <c r="R23" s="20"/>
      <c r="S23" s="20">
        <f t="shared" si="18"/>
        <v>186.66</v>
      </c>
      <c r="T23" s="19">
        <f t="shared" si="19"/>
        <v>2260.66</v>
      </c>
      <c r="U23" s="21" t="s">
        <v>18</v>
      </c>
      <c r="V23" s="20">
        <f>207.4+27.58+25.51</f>
        <v>260.49</v>
      </c>
    </row>
    <row r="24" spans="1:22" ht="15.75">
      <c r="A24" s="22">
        <v>3</v>
      </c>
      <c r="B24" s="23" t="s">
        <v>45</v>
      </c>
      <c r="C24" s="17">
        <v>26</v>
      </c>
      <c r="D24" s="18">
        <v>5</v>
      </c>
      <c r="E24" s="19">
        <v>1666</v>
      </c>
      <c r="F24" s="20">
        <f>75+104</f>
        <v>179</v>
      </c>
      <c r="G24" s="20">
        <v>150</v>
      </c>
      <c r="H24" s="20"/>
      <c r="I24" s="20"/>
      <c r="J24" s="20"/>
      <c r="K24" s="20"/>
      <c r="L24" s="20"/>
      <c r="M24" s="20"/>
      <c r="N24" s="20"/>
      <c r="O24" s="19">
        <f t="shared" si="15"/>
        <v>1995</v>
      </c>
      <c r="P24" s="19">
        <f t="shared" si="16"/>
        <v>1995</v>
      </c>
      <c r="Q24" s="20">
        <f t="shared" si="17"/>
        <v>179.54999999999998</v>
      </c>
      <c r="R24" s="20"/>
      <c r="S24" s="20">
        <f t="shared" si="18"/>
        <v>179.54999999999998</v>
      </c>
      <c r="T24" s="19">
        <f t="shared" si="19"/>
        <v>2174.5500000000002</v>
      </c>
      <c r="U24" s="21" t="s">
        <v>18</v>
      </c>
      <c r="V24" s="20">
        <f>+P24*12.88%</f>
        <v>256.95600000000002</v>
      </c>
    </row>
    <row r="25" spans="1:22" ht="15.75">
      <c r="A25" s="22">
        <v>4</v>
      </c>
      <c r="B25" s="23" t="s">
        <v>46</v>
      </c>
      <c r="C25" s="17">
        <v>59</v>
      </c>
      <c r="D25" s="18">
        <v>5</v>
      </c>
      <c r="E25" s="19">
        <v>1848</v>
      </c>
      <c r="F25" s="20">
        <f>75+92+256.4+192.3+128.2</f>
        <v>743.90000000000009</v>
      </c>
      <c r="G25" s="20">
        <v>150</v>
      </c>
      <c r="H25" s="20"/>
      <c r="I25" s="20"/>
      <c r="J25" s="20"/>
      <c r="K25" s="20"/>
      <c r="L25" s="20"/>
      <c r="M25" s="20">
        <v>92</v>
      </c>
      <c r="N25" s="20"/>
      <c r="O25" s="19">
        <f t="shared" si="15"/>
        <v>2833.9</v>
      </c>
      <c r="P25" s="19">
        <f t="shared" si="16"/>
        <v>2741.9</v>
      </c>
      <c r="Q25" s="20">
        <f t="shared" si="17"/>
        <v>246.77099999999999</v>
      </c>
      <c r="R25" s="20"/>
      <c r="S25" s="20">
        <f t="shared" si="18"/>
        <v>246.77099999999999</v>
      </c>
      <c r="T25" s="19">
        <f t="shared" si="19"/>
        <v>2988.6710000000003</v>
      </c>
      <c r="U25" s="21" t="s">
        <v>18</v>
      </c>
      <c r="V25" s="20">
        <f>+P25*12.88%</f>
        <v>353.15672000000001</v>
      </c>
    </row>
    <row r="26" spans="1:22" ht="15.75">
      <c r="A26" s="22">
        <v>5</v>
      </c>
      <c r="B26" s="23" t="s">
        <v>41</v>
      </c>
      <c r="C26" s="17">
        <v>51</v>
      </c>
      <c r="D26" s="18">
        <v>5</v>
      </c>
      <c r="E26" s="19">
        <v>1848</v>
      </c>
      <c r="F26" s="20">
        <f>92+246.4+184.8+123.2</f>
        <v>646.40000000000009</v>
      </c>
      <c r="G26" s="20"/>
      <c r="H26" s="20"/>
      <c r="I26" s="20"/>
      <c r="J26" s="20"/>
      <c r="K26" s="20"/>
      <c r="L26" s="20"/>
      <c r="M26" s="20">
        <v>92</v>
      </c>
      <c r="N26" s="20"/>
      <c r="O26" s="19">
        <f t="shared" si="15"/>
        <v>2586.4</v>
      </c>
      <c r="P26" s="19">
        <f t="shared" si="16"/>
        <v>2494.4</v>
      </c>
      <c r="Q26" s="20">
        <f t="shared" si="17"/>
        <v>224.49600000000001</v>
      </c>
      <c r="R26" s="20"/>
      <c r="S26" s="20">
        <f t="shared" si="18"/>
        <v>224.49600000000001</v>
      </c>
      <c r="T26" s="19">
        <f t="shared" si="19"/>
        <v>2718.8960000000002</v>
      </c>
      <c r="U26" s="21" t="s">
        <v>0</v>
      </c>
      <c r="V26" s="20">
        <f>+P26*13.02%</f>
        <v>324.77087999999998</v>
      </c>
    </row>
    <row r="27" spans="1:22" ht="15.75">
      <c r="A27" s="22">
        <v>5</v>
      </c>
      <c r="B27" s="23" t="s">
        <v>13</v>
      </c>
      <c r="C27" s="17">
        <v>12</v>
      </c>
      <c r="D27" s="18">
        <v>5</v>
      </c>
      <c r="E27" s="19">
        <v>1666</v>
      </c>
      <c r="F27" s="20">
        <f>75+92+50</f>
        <v>217</v>
      </c>
      <c r="G27" s="20"/>
      <c r="H27" s="20"/>
      <c r="I27" s="20"/>
      <c r="J27" s="20"/>
      <c r="K27" s="20"/>
      <c r="L27" s="20"/>
      <c r="M27" s="20"/>
      <c r="N27" s="20"/>
      <c r="O27" s="19">
        <f t="shared" si="15"/>
        <v>1883</v>
      </c>
      <c r="P27" s="19">
        <f t="shared" si="16"/>
        <v>1883</v>
      </c>
      <c r="Q27" s="20">
        <f t="shared" si="17"/>
        <v>169.47</v>
      </c>
      <c r="R27" s="20"/>
      <c r="S27" s="20">
        <f t="shared" si="18"/>
        <v>169.47</v>
      </c>
      <c r="T27" s="19">
        <f t="shared" si="19"/>
        <v>2052.4699999999998</v>
      </c>
      <c r="U27" s="21" t="s">
        <v>0</v>
      </c>
      <c r="V27" s="20">
        <f>+P27*13.02%</f>
        <v>245.16659999999996</v>
      </c>
    </row>
    <row r="28" spans="1:22" ht="15.75">
      <c r="A28" s="22">
        <v>4</v>
      </c>
      <c r="B28" s="23" t="s">
        <v>40</v>
      </c>
      <c r="C28" s="17">
        <v>29</v>
      </c>
      <c r="D28" s="18">
        <v>5</v>
      </c>
      <c r="E28" s="19">
        <v>1848</v>
      </c>
      <c r="F28" s="20">
        <f>75+92</f>
        <v>167</v>
      </c>
      <c r="G28" s="20"/>
      <c r="H28" s="20"/>
      <c r="I28" s="20"/>
      <c r="J28" s="20"/>
      <c r="K28" s="20"/>
      <c r="L28" s="20"/>
      <c r="M28" s="20"/>
      <c r="N28" s="20"/>
      <c r="O28" s="19">
        <f t="shared" si="15"/>
        <v>2015</v>
      </c>
      <c r="P28" s="19">
        <f t="shared" si="16"/>
        <v>2015</v>
      </c>
      <c r="Q28" s="20">
        <f t="shared" si="17"/>
        <v>181.35</v>
      </c>
      <c r="R28" s="20"/>
      <c r="S28" s="20">
        <f t="shared" si="18"/>
        <v>181.35</v>
      </c>
      <c r="T28" s="19">
        <f t="shared" si="19"/>
        <v>2196.35</v>
      </c>
      <c r="U28" s="21" t="s">
        <v>0</v>
      </c>
      <c r="V28" s="20">
        <f>+P28*13.02%</f>
        <v>262.35299999999995</v>
      </c>
    </row>
    <row r="29" spans="1:22" ht="15.75">
      <c r="A29" s="22">
        <v>7</v>
      </c>
      <c r="B29" s="23" t="s">
        <v>30</v>
      </c>
      <c r="C29" s="17">
        <v>42</v>
      </c>
      <c r="D29" s="18">
        <v>5</v>
      </c>
      <c r="E29" s="19">
        <v>1848</v>
      </c>
      <c r="F29" s="20">
        <f>100+50</f>
        <v>150</v>
      </c>
      <c r="G29" s="20"/>
      <c r="H29" s="20"/>
      <c r="I29" s="20"/>
      <c r="J29" s="20"/>
      <c r="K29" s="20"/>
      <c r="L29" s="20"/>
      <c r="M29" s="20"/>
      <c r="N29" s="20"/>
      <c r="O29" s="19">
        <f t="shared" si="15"/>
        <v>1998</v>
      </c>
      <c r="P29" s="19">
        <f t="shared" si="16"/>
        <v>1998</v>
      </c>
      <c r="Q29" s="20">
        <f t="shared" si="17"/>
        <v>179.82</v>
      </c>
      <c r="R29" s="20"/>
      <c r="S29" s="20">
        <f t="shared" si="18"/>
        <v>179.82</v>
      </c>
      <c r="T29" s="19">
        <f t="shared" si="19"/>
        <v>2177.8200000000002</v>
      </c>
      <c r="U29" s="21" t="s">
        <v>18</v>
      </c>
      <c r="V29" s="20">
        <f>+P29*12.88%</f>
        <v>257.3424</v>
      </c>
    </row>
    <row r="30" spans="1:22" ht="15.75">
      <c r="A30" s="22">
        <v>6</v>
      </c>
      <c r="B30" s="23" t="s">
        <v>14</v>
      </c>
      <c r="C30" s="17">
        <v>61</v>
      </c>
      <c r="D30" s="18">
        <v>5</v>
      </c>
      <c r="E30" s="19">
        <v>1951</v>
      </c>
      <c r="F30" s="20">
        <f>75+100</f>
        <v>175</v>
      </c>
      <c r="G30" s="20"/>
      <c r="H30" s="20"/>
      <c r="I30" s="20"/>
      <c r="J30" s="20"/>
      <c r="K30" s="20"/>
      <c r="L30" s="20"/>
      <c r="M30" s="20"/>
      <c r="N30" s="20"/>
      <c r="O30" s="19">
        <f t="shared" si="15"/>
        <v>2126</v>
      </c>
      <c r="P30" s="19">
        <f t="shared" si="16"/>
        <v>2126</v>
      </c>
      <c r="Q30" s="20">
        <f t="shared" si="17"/>
        <v>191.34</v>
      </c>
      <c r="R30" s="20"/>
      <c r="S30" s="20">
        <f t="shared" si="18"/>
        <v>191.34</v>
      </c>
      <c r="T30" s="19">
        <f t="shared" si="19"/>
        <v>2317.34</v>
      </c>
      <c r="U30" s="21" t="s">
        <v>0</v>
      </c>
      <c r="V30" s="20">
        <f>+P30*13.02%</f>
        <v>276.80519999999996</v>
      </c>
    </row>
    <row r="31" spans="1:22" ht="15.75">
      <c r="A31" s="22">
        <v>8</v>
      </c>
      <c r="B31" s="23" t="s">
        <v>53</v>
      </c>
      <c r="C31" s="17">
        <v>33</v>
      </c>
      <c r="D31" s="18">
        <v>5</v>
      </c>
      <c r="E31" s="19">
        <v>1848</v>
      </c>
      <c r="F31" s="20">
        <f>96+123.2+184.8+61.6</f>
        <v>465.6</v>
      </c>
      <c r="G31" s="20"/>
      <c r="H31" s="20"/>
      <c r="I31" s="20"/>
      <c r="J31" s="20"/>
      <c r="K31" s="20"/>
      <c r="L31" s="20"/>
      <c r="M31" s="20">
        <v>92</v>
      </c>
      <c r="N31" s="20"/>
      <c r="O31" s="19">
        <f t="shared" si="15"/>
        <v>2405.6</v>
      </c>
      <c r="P31" s="19">
        <f t="shared" si="16"/>
        <v>2313.6</v>
      </c>
      <c r="Q31" s="20">
        <f t="shared" si="17"/>
        <v>208.22399999999999</v>
      </c>
      <c r="R31" s="20"/>
      <c r="S31" s="20">
        <f t="shared" si="18"/>
        <v>208.22399999999999</v>
      </c>
      <c r="T31" s="19">
        <f t="shared" si="19"/>
        <v>2521.8240000000001</v>
      </c>
      <c r="U31" s="21" t="s">
        <v>0</v>
      </c>
      <c r="V31" s="20">
        <f>231.36+30.77+33.78</f>
        <v>295.90999999999997</v>
      </c>
    </row>
    <row r="32" spans="1:22" ht="15.75">
      <c r="A32" s="22">
        <v>6</v>
      </c>
      <c r="B32" s="23" t="s">
        <v>15</v>
      </c>
      <c r="C32" s="17">
        <v>40</v>
      </c>
      <c r="D32" s="18">
        <v>5</v>
      </c>
      <c r="E32" s="19">
        <v>1666</v>
      </c>
      <c r="F32" s="20">
        <f>75+92+116.06+174.1+58.03</f>
        <v>515.18999999999994</v>
      </c>
      <c r="G32" s="20"/>
      <c r="H32" s="20"/>
      <c r="I32" s="20"/>
      <c r="J32" s="20"/>
      <c r="K32" s="20"/>
      <c r="L32" s="20"/>
      <c r="M32" s="20">
        <v>80.5</v>
      </c>
      <c r="N32" s="20"/>
      <c r="O32" s="19">
        <f t="shared" si="15"/>
        <v>2261.69</v>
      </c>
      <c r="P32" s="19">
        <f t="shared" si="16"/>
        <v>2181.19</v>
      </c>
      <c r="Q32" s="20">
        <f t="shared" si="17"/>
        <v>196.30709999999999</v>
      </c>
      <c r="R32" s="20"/>
      <c r="S32" s="20">
        <f t="shared" si="18"/>
        <v>196.30709999999999</v>
      </c>
      <c r="T32" s="19">
        <f t="shared" si="19"/>
        <v>2377.4971</v>
      </c>
      <c r="U32" s="21" t="s">
        <v>18</v>
      </c>
      <c r="V32" s="20">
        <f>218.12+29.01+26.83</f>
        <v>273.95999999999998</v>
      </c>
    </row>
    <row r="33" spans="1:22" ht="15.75">
      <c r="A33" s="22">
        <v>9</v>
      </c>
      <c r="B33" s="23" t="s">
        <v>54</v>
      </c>
      <c r="C33" s="17">
        <v>59</v>
      </c>
      <c r="D33" s="18">
        <v>5</v>
      </c>
      <c r="E33" s="19">
        <v>1848</v>
      </c>
      <c r="F33" s="20">
        <f>75+92+256.4+192.3+128.2</f>
        <v>743.90000000000009</v>
      </c>
      <c r="G33" s="20"/>
      <c r="H33" s="20"/>
      <c r="I33" s="20"/>
      <c r="J33" s="20"/>
      <c r="K33" s="20"/>
      <c r="L33" s="20"/>
      <c r="M33" s="20">
        <v>92</v>
      </c>
      <c r="N33" s="20"/>
      <c r="O33" s="19">
        <f t="shared" si="15"/>
        <v>2683.9</v>
      </c>
      <c r="P33" s="19">
        <f t="shared" si="16"/>
        <v>2591.9</v>
      </c>
      <c r="Q33" s="20">
        <f t="shared" si="17"/>
        <v>233.27099999999999</v>
      </c>
      <c r="R33" s="20"/>
      <c r="S33" s="20">
        <f t="shared" si="18"/>
        <v>233.27099999999999</v>
      </c>
      <c r="T33" s="19">
        <f t="shared" si="19"/>
        <v>2825.1710000000003</v>
      </c>
      <c r="U33" s="21" t="s">
        <v>1</v>
      </c>
      <c r="V33" s="20">
        <f>+P33*13%</f>
        <v>336.947</v>
      </c>
    </row>
    <row r="34" spans="1:22" ht="15.75">
      <c r="A34" s="22">
        <v>10</v>
      </c>
      <c r="B34" s="23" t="s">
        <v>55</v>
      </c>
      <c r="C34" s="17">
        <v>37</v>
      </c>
      <c r="D34" s="18">
        <v>5</v>
      </c>
      <c r="E34" s="19">
        <v>1899</v>
      </c>
      <c r="F34" s="20">
        <f>75+263.2+197.4+131.6+65.8</f>
        <v>733</v>
      </c>
      <c r="G34" s="20"/>
      <c r="H34" s="20"/>
      <c r="I34" s="20"/>
      <c r="J34" s="20"/>
      <c r="K34" s="20"/>
      <c r="L34" s="20"/>
      <c r="M34" s="20">
        <v>92</v>
      </c>
      <c r="N34" s="20"/>
      <c r="O34" s="19">
        <f t="shared" si="15"/>
        <v>2724</v>
      </c>
      <c r="P34" s="19">
        <f t="shared" si="16"/>
        <v>2632</v>
      </c>
      <c r="Q34" s="20">
        <f t="shared" si="17"/>
        <v>236.88</v>
      </c>
      <c r="R34" s="20"/>
      <c r="S34" s="20">
        <f t="shared" si="18"/>
        <v>236.88</v>
      </c>
      <c r="T34" s="19">
        <f t="shared" si="19"/>
        <v>2868.88</v>
      </c>
      <c r="U34" s="21" t="s">
        <v>18</v>
      </c>
      <c r="V34" s="20">
        <f>+P34*12.88%</f>
        <v>339.0016</v>
      </c>
    </row>
  </sheetData>
  <sortState ref="A18:V33">
    <sortCondition ref="B18"/>
  </sortState>
  <pageMargins left="0.43" right="0.15748031496062992" top="0.31496062992125984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34"/>
  <sheetViews>
    <sheetView workbookViewId="0">
      <selection activeCell="F12" sqref="F12"/>
    </sheetView>
  </sheetViews>
  <sheetFormatPr baseColWidth="10" defaultRowHeight="15"/>
  <cols>
    <col min="1" max="1" width="3.42578125" customWidth="1"/>
    <col min="2" max="2" width="23.28515625" customWidth="1"/>
    <col min="3" max="3" width="3.85546875" customWidth="1"/>
    <col min="4" max="4" width="3.28515625" customWidth="1"/>
    <col min="5" max="5" width="9.28515625" customWidth="1"/>
    <col min="6" max="7" width="8.28515625" customWidth="1"/>
    <col min="8" max="8" width="5" customWidth="1"/>
    <col min="9" max="9" width="5.42578125" customWidth="1"/>
    <col min="10" max="10" width="5" customWidth="1"/>
    <col min="11" max="11" width="8.28515625" customWidth="1"/>
    <col min="12" max="12" width="4.85546875" customWidth="1"/>
    <col min="13" max="13" width="6.7109375" customWidth="1"/>
    <col min="14" max="14" width="8.140625" customWidth="1"/>
    <col min="15" max="15" width="9.140625" customWidth="1"/>
    <col min="16" max="16" width="9.28515625" customWidth="1"/>
    <col min="17" max="17" width="8.28515625" customWidth="1"/>
    <col min="18" max="18" width="5.140625" customWidth="1"/>
    <col min="19" max="19" width="8.28515625" customWidth="1"/>
    <col min="20" max="20" width="9.28515625" customWidth="1"/>
    <col min="21" max="21" width="7" customWidth="1"/>
    <col min="22" max="22" width="8.28515625" customWidth="1"/>
  </cols>
  <sheetData>
    <row r="1" spans="1:22" ht="15.75">
      <c r="A1" s="63">
        <v>1</v>
      </c>
      <c r="B1" s="64" t="s">
        <v>33</v>
      </c>
      <c r="C1" s="24">
        <v>180</v>
      </c>
      <c r="D1" s="25">
        <v>5</v>
      </c>
      <c r="E1" s="26">
        <v>2241</v>
      </c>
      <c r="F1" s="27"/>
      <c r="G1" s="27"/>
      <c r="H1" s="27"/>
      <c r="I1" s="27"/>
      <c r="J1" s="27"/>
      <c r="K1" s="27"/>
      <c r="L1" s="27"/>
      <c r="M1" s="27"/>
      <c r="N1" s="27">
        <v>1054</v>
      </c>
      <c r="O1" s="19">
        <f>SUM(E1:N1)</f>
        <v>3295</v>
      </c>
      <c r="P1" s="19">
        <f>O1-M1-J1</f>
        <v>3295</v>
      </c>
      <c r="Q1" s="20">
        <f>P1*9%</f>
        <v>296.55</v>
      </c>
      <c r="R1" s="20"/>
      <c r="S1" s="20">
        <f>Q1+R1</f>
        <v>296.55</v>
      </c>
      <c r="T1" s="19">
        <f>P1+S1</f>
        <v>3591.55</v>
      </c>
      <c r="U1" s="21" t="s">
        <v>0</v>
      </c>
      <c r="V1" s="20">
        <f>+P1*13.02%</f>
        <v>429.00899999999996</v>
      </c>
    </row>
    <row r="2" spans="1:22" ht="16.5" thickBot="1">
      <c r="A2" s="53">
        <v>1</v>
      </c>
      <c r="B2" s="54" t="s">
        <v>56</v>
      </c>
      <c r="C2" s="55"/>
      <c r="D2" s="56"/>
      <c r="E2" s="57"/>
      <c r="F2" s="58"/>
      <c r="G2" s="58"/>
      <c r="H2" s="58"/>
      <c r="I2" s="58"/>
      <c r="J2" s="58"/>
      <c r="K2" s="58"/>
      <c r="L2" s="58"/>
      <c r="M2" s="58"/>
      <c r="N2" s="58"/>
      <c r="O2" s="19"/>
      <c r="P2" s="19"/>
      <c r="Q2" s="20"/>
      <c r="R2" s="20"/>
      <c r="S2" s="20"/>
      <c r="T2" s="19"/>
      <c r="U2" s="21"/>
      <c r="V2" s="20"/>
    </row>
    <row r="3" spans="1:22" ht="15.75">
      <c r="A3" s="47">
        <v>1</v>
      </c>
      <c r="B3" s="48" t="s">
        <v>3</v>
      </c>
      <c r="C3" s="49"/>
      <c r="D3" s="50"/>
      <c r="E3" s="51"/>
      <c r="F3" s="52"/>
      <c r="G3" s="52"/>
      <c r="H3" s="52"/>
      <c r="I3" s="52"/>
      <c r="J3" s="52"/>
      <c r="K3" s="52"/>
      <c r="L3" s="52"/>
      <c r="M3" s="52"/>
      <c r="N3" s="52"/>
      <c r="O3" s="19">
        <f>SUM(E3:N3)</f>
        <v>0</v>
      </c>
      <c r="P3" s="19">
        <f>O3-M3-J3</f>
        <v>0</v>
      </c>
      <c r="Q3" s="20">
        <f>P3*9%</f>
        <v>0</v>
      </c>
      <c r="R3" s="20"/>
      <c r="S3" s="20">
        <f>Q3+R3</f>
        <v>0</v>
      </c>
      <c r="T3" s="19">
        <f>P3+S3</f>
        <v>0</v>
      </c>
      <c r="U3" s="21" t="s">
        <v>2</v>
      </c>
      <c r="V3" s="20">
        <f>+P3*12.93%</f>
        <v>0</v>
      </c>
    </row>
    <row r="4" spans="1:22" ht="16.5" thickBot="1">
      <c r="A4" s="53">
        <v>2</v>
      </c>
      <c r="B4" s="54" t="s">
        <v>56</v>
      </c>
      <c r="C4" s="55">
        <v>180</v>
      </c>
      <c r="D4" s="56">
        <v>5</v>
      </c>
      <c r="E4" s="57">
        <v>2920</v>
      </c>
      <c r="F4" s="58">
        <f>75+75</f>
        <v>150</v>
      </c>
      <c r="G4" s="58">
        <v>300</v>
      </c>
      <c r="H4" s="58"/>
      <c r="I4" s="58"/>
      <c r="J4" s="58"/>
      <c r="K4" s="58"/>
      <c r="L4" s="58"/>
      <c r="M4" s="58"/>
      <c r="N4" s="58"/>
      <c r="O4" s="26">
        <f t="shared" ref="O4" si="0">SUM(E4:N4)</f>
        <v>3370</v>
      </c>
      <c r="P4" s="26">
        <f t="shared" ref="P4" si="1">O4-M4-J4</f>
        <v>3370</v>
      </c>
      <c r="Q4" s="27">
        <f t="shared" ref="Q4" si="2">P4*9%</f>
        <v>303.3</v>
      </c>
      <c r="R4" s="27"/>
      <c r="S4" s="27">
        <f t="shared" ref="S4" si="3">Q4+R4</f>
        <v>303.3</v>
      </c>
      <c r="T4" s="26">
        <f t="shared" ref="T4" si="4">P4+S4</f>
        <v>3673.3</v>
      </c>
      <c r="U4" s="28" t="s">
        <v>57</v>
      </c>
      <c r="V4" s="27">
        <f>337+44.82+49.2</f>
        <v>431.02</v>
      </c>
    </row>
    <row r="5" spans="1:22" ht="15.75">
      <c r="A5" s="47">
        <v>1</v>
      </c>
      <c r="B5" s="48" t="s">
        <v>51</v>
      </c>
      <c r="C5" s="49"/>
      <c r="D5" s="50"/>
      <c r="E5" s="51"/>
      <c r="F5" s="52"/>
      <c r="G5" s="52"/>
      <c r="H5" s="52"/>
      <c r="I5" s="52"/>
      <c r="J5" s="52"/>
      <c r="K5" s="52"/>
      <c r="L5" s="52"/>
      <c r="M5" s="52"/>
      <c r="N5" s="52"/>
      <c r="O5" s="19"/>
      <c r="P5" s="19"/>
      <c r="Q5" s="20"/>
      <c r="R5" s="20"/>
      <c r="S5" s="20"/>
      <c r="T5" s="19"/>
      <c r="U5" s="21"/>
      <c r="V5" s="20"/>
    </row>
    <row r="6" spans="1:22" ht="16.5" thickBot="1">
      <c r="A6" s="73">
        <v>2</v>
      </c>
      <c r="B6" s="74" t="s">
        <v>24</v>
      </c>
      <c r="C6" s="59"/>
      <c r="D6" s="60"/>
      <c r="E6" s="61"/>
      <c r="F6" s="62"/>
      <c r="G6" s="62"/>
      <c r="H6" s="62"/>
      <c r="I6" s="62"/>
      <c r="J6" s="62"/>
      <c r="K6" s="62"/>
      <c r="L6" s="62"/>
      <c r="M6" s="62"/>
      <c r="N6" s="62"/>
      <c r="O6" s="19"/>
      <c r="P6" s="19"/>
      <c r="Q6" s="20"/>
      <c r="R6" s="20"/>
      <c r="S6" s="20"/>
      <c r="T6" s="19"/>
      <c r="U6" s="21"/>
      <c r="V6" s="20"/>
    </row>
    <row r="7" spans="1:22" ht="15.75">
      <c r="A7" s="47">
        <v>1</v>
      </c>
      <c r="B7" s="48" t="s">
        <v>5</v>
      </c>
      <c r="C7" s="49">
        <v>69</v>
      </c>
      <c r="D7" s="50">
        <v>5</v>
      </c>
      <c r="E7" s="51">
        <v>1899</v>
      </c>
      <c r="F7" s="52">
        <f>75+104+50</f>
        <v>229</v>
      </c>
      <c r="G7" s="52">
        <v>300</v>
      </c>
      <c r="H7" s="52"/>
      <c r="I7" s="52">
        <v>18.55</v>
      </c>
      <c r="J7" s="52"/>
      <c r="K7" s="52"/>
      <c r="L7" s="52"/>
      <c r="M7" s="52"/>
      <c r="N7" s="52"/>
      <c r="O7" s="19">
        <f>SUM(E7:N7)</f>
        <v>2446.5500000000002</v>
      </c>
      <c r="P7" s="19">
        <f>O7-M7-J7</f>
        <v>2446.5500000000002</v>
      </c>
      <c r="Q7" s="20">
        <f>P7*9%</f>
        <v>220.18950000000001</v>
      </c>
      <c r="R7" s="20"/>
      <c r="S7" s="20">
        <f>Q7+R7</f>
        <v>220.18950000000001</v>
      </c>
      <c r="T7" s="19">
        <f>P7+S7</f>
        <v>2666.7395000000001</v>
      </c>
      <c r="U7" s="21" t="s">
        <v>0</v>
      </c>
      <c r="V7" s="20">
        <f>+P7*13.02%</f>
        <v>318.54080999999996</v>
      </c>
    </row>
    <row r="8" spans="1:22" ht="15.75">
      <c r="A8" s="22">
        <v>2</v>
      </c>
      <c r="B8" s="23" t="s">
        <v>34</v>
      </c>
      <c r="C8" s="17">
        <v>90</v>
      </c>
      <c r="D8" s="18">
        <v>5</v>
      </c>
      <c r="E8" s="19">
        <v>1666</v>
      </c>
      <c r="F8" s="20">
        <f>75+131.6+174.1+58.03</f>
        <v>438.73</v>
      </c>
      <c r="G8" s="20">
        <v>250</v>
      </c>
      <c r="H8" s="20"/>
      <c r="I8" s="20"/>
      <c r="J8" s="20"/>
      <c r="K8" s="20"/>
      <c r="L8" s="20"/>
      <c r="M8" s="20">
        <v>80.5</v>
      </c>
      <c r="N8" s="20">
        <v>233</v>
      </c>
      <c r="O8" s="19">
        <f t="shared" ref="O8:O10" si="5">SUM(E8:N8)</f>
        <v>2668.23</v>
      </c>
      <c r="P8" s="19">
        <f t="shared" ref="P8:P10" si="6">O8-M8-J8</f>
        <v>2587.73</v>
      </c>
      <c r="Q8" s="20">
        <f t="shared" ref="Q8:Q10" si="7">P8*9%</f>
        <v>232.89570000000001</v>
      </c>
      <c r="R8" s="20"/>
      <c r="S8" s="20">
        <f t="shared" ref="S8:S10" si="8">Q8+R8</f>
        <v>232.89570000000001</v>
      </c>
      <c r="T8" s="19">
        <f t="shared" ref="T8:T10" si="9">P8+S8</f>
        <v>2820.6257000000001</v>
      </c>
      <c r="U8" s="21" t="s">
        <v>18</v>
      </c>
      <c r="V8" s="20">
        <f>+P8*12.88%</f>
        <v>333.29962399999999</v>
      </c>
    </row>
    <row r="9" spans="1:22" ht="15.75">
      <c r="A9" s="22">
        <v>3</v>
      </c>
      <c r="B9" s="23" t="s">
        <v>7</v>
      </c>
      <c r="C9" s="17">
        <v>48</v>
      </c>
      <c r="D9" s="18">
        <v>5</v>
      </c>
      <c r="E9" s="19">
        <v>1727</v>
      </c>
      <c r="F9" s="20">
        <f>75+104+50</f>
        <v>229</v>
      </c>
      <c r="G9" s="20">
        <v>200</v>
      </c>
      <c r="H9" s="20"/>
      <c r="I9" s="20"/>
      <c r="J9" s="20"/>
      <c r="K9" s="20"/>
      <c r="L9" s="20"/>
      <c r="M9" s="20"/>
      <c r="N9" s="20">
        <v>121</v>
      </c>
      <c r="O9" s="19">
        <f t="shared" si="5"/>
        <v>2277</v>
      </c>
      <c r="P9" s="19">
        <f t="shared" si="6"/>
        <v>2277</v>
      </c>
      <c r="Q9" s="20">
        <f t="shared" si="7"/>
        <v>204.92999999999998</v>
      </c>
      <c r="R9" s="20"/>
      <c r="S9" s="20">
        <f t="shared" si="8"/>
        <v>204.92999999999998</v>
      </c>
      <c r="T9" s="19">
        <f t="shared" si="9"/>
        <v>2481.9299999999998</v>
      </c>
      <c r="U9" s="21" t="s">
        <v>2</v>
      </c>
      <c r="V9" s="20">
        <f>+P9*12.93%</f>
        <v>294.41609999999997</v>
      </c>
    </row>
    <row r="10" spans="1:22" ht="16.5" thickBot="1">
      <c r="A10" s="53">
        <v>4</v>
      </c>
      <c r="B10" s="54" t="s">
        <v>8</v>
      </c>
      <c r="C10" s="55">
        <v>65</v>
      </c>
      <c r="D10" s="56">
        <v>5</v>
      </c>
      <c r="E10" s="57">
        <v>1951</v>
      </c>
      <c r="F10" s="58">
        <f>75+104+96</f>
        <v>275</v>
      </c>
      <c r="G10" s="58">
        <v>150</v>
      </c>
      <c r="H10" s="58"/>
      <c r="I10" s="58"/>
      <c r="J10" s="58"/>
      <c r="K10" s="58"/>
      <c r="L10" s="58"/>
      <c r="M10" s="58"/>
      <c r="N10" s="58"/>
      <c r="O10" s="19">
        <f t="shared" si="5"/>
        <v>2376</v>
      </c>
      <c r="P10" s="19">
        <f t="shared" si="6"/>
        <v>2376</v>
      </c>
      <c r="Q10" s="20">
        <f t="shared" si="7"/>
        <v>213.84</v>
      </c>
      <c r="R10" s="20"/>
      <c r="S10" s="20">
        <f t="shared" si="8"/>
        <v>213.84</v>
      </c>
      <c r="T10" s="19">
        <f t="shared" si="9"/>
        <v>2589.84</v>
      </c>
      <c r="U10" s="21" t="s">
        <v>18</v>
      </c>
      <c r="V10" s="20">
        <f>+P10*12.88%</f>
        <v>306.02879999999999</v>
      </c>
    </row>
    <row r="11" spans="1:22" ht="15.75">
      <c r="A11" s="47">
        <v>1</v>
      </c>
      <c r="B11" s="48" t="s">
        <v>35</v>
      </c>
      <c r="C11" s="49">
        <v>17</v>
      </c>
      <c r="D11" s="50">
        <v>5</v>
      </c>
      <c r="E11" s="51">
        <v>905</v>
      </c>
      <c r="F11" s="52">
        <f>75+104+75</f>
        <v>254</v>
      </c>
      <c r="G11" s="52"/>
      <c r="H11" s="52"/>
      <c r="I11" s="52"/>
      <c r="J11" s="52"/>
      <c r="K11" s="52"/>
      <c r="L11" s="52"/>
      <c r="M11" s="52"/>
      <c r="N11" s="52">
        <v>761</v>
      </c>
      <c r="O11" s="19">
        <f>SUM(E11:N11)</f>
        <v>1920</v>
      </c>
      <c r="P11" s="19">
        <f>O11-M11-J11</f>
        <v>1920</v>
      </c>
      <c r="Q11" s="20">
        <f>P11*9%</f>
        <v>172.79999999999998</v>
      </c>
      <c r="R11" s="20"/>
      <c r="S11" s="20">
        <f>Q11+R11</f>
        <v>172.79999999999998</v>
      </c>
      <c r="T11" s="19">
        <f>P11+S11</f>
        <v>2092.8000000000002</v>
      </c>
      <c r="U11" s="21" t="s">
        <v>0</v>
      </c>
      <c r="V11" s="20">
        <f>+P11*13.02%</f>
        <v>249.98399999999998</v>
      </c>
    </row>
    <row r="12" spans="1:22" ht="15.75">
      <c r="A12" s="22">
        <v>2</v>
      </c>
      <c r="B12" s="23" t="s">
        <v>48</v>
      </c>
      <c r="C12" s="17"/>
      <c r="D12" s="18"/>
      <c r="E12" s="19">
        <v>880</v>
      </c>
      <c r="F12" s="20">
        <v>104</v>
      </c>
      <c r="G12" s="20"/>
      <c r="H12" s="20"/>
      <c r="I12" s="20"/>
      <c r="J12" s="20"/>
      <c r="K12" s="20"/>
      <c r="L12" s="20"/>
      <c r="M12" s="20"/>
      <c r="N12" s="20">
        <v>786</v>
      </c>
      <c r="O12" s="19">
        <f t="shared" ref="O12:O13" si="10">SUM(E12:N12)</f>
        <v>1770</v>
      </c>
      <c r="P12" s="19">
        <f t="shared" ref="P12:P13" si="11">O12-M12-J12</f>
        <v>1770</v>
      </c>
      <c r="Q12" s="20">
        <f t="shared" ref="Q12:Q13" si="12">P12*9%</f>
        <v>159.29999999999998</v>
      </c>
      <c r="R12" s="20"/>
      <c r="S12" s="20">
        <f t="shared" ref="S12:S13" si="13">Q12+R12</f>
        <v>159.29999999999998</v>
      </c>
      <c r="T12" s="19">
        <f t="shared" ref="T12:T13" si="14">P12+S12</f>
        <v>1929.3</v>
      </c>
      <c r="U12" s="21" t="s">
        <v>2</v>
      </c>
      <c r="V12" s="20">
        <f>+P12*12.93%</f>
        <v>228.86099999999999</v>
      </c>
    </row>
    <row r="13" spans="1:22" ht="16.5" thickBot="1">
      <c r="A13" s="53">
        <v>3</v>
      </c>
      <c r="B13" s="54" t="s">
        <v>49</v>
      </c>
      <c r="C13" s="55"/>
      <c r="D13" s="56">
        <v>5</v>
      </c>
      <c r="E13" s="57">
        <v>905</v>
      </c>
      <c r="F13" s="58">
        <v>92</v>
      </c>
      <c r="G13" s="58"/>
      <c r="H13" s="58"/>
      <c r="I13" s="58"/>
      <c r="J13" s="58"/>
      <c r="K13" s="58"/>
      <c r="L13" s="58"/>
      <c r="M13" s="58"/>
      <c r="N13" s="58">
        <v>761</v>
      </c>
      <c r="O13" s="19">
        <f t="shared" si="10"/>
        <v>1758</v>
      </c>
      <c r="P13" s="19">
        <f t="shared" si="11"/>
        <v>1758</v>
      </c>
      <c r="Q13" s="20">
        <f t="shared" si="12"/>
        <v>158.22</v>
      </c>
      <c r="R13" s="20"/>
      <c r="S13" s="20">
        <f t="shared" si="13"/>
        <v>158.22</v>
      </c>
      <c r="T13" s="19">
        <f t="shared" si="14"/>
        <v>1916.22</v>
      </c>
      <c r="U13" s="21" t="s">
        <v>2</v>
      </c>
      <c r="V13" s="20">
        <f>+P13*12.93%</f>
        <v>227.30940000000001</v>
      </c>
    </row>
    <row r="14" spans="1:22" ht="15.75">
      <c r="A14" s="89">
        <v>1</v>
      </c>
      <c r="B14" s="90" t="s">
        <v>38</v>
      </c>
      <c r="C14" s="49"/>
      <c r="D14" s="50"/>
      <c r="E14" s="51"/>
      <c r="F14" s="52"/>
      <c r="G14" s="52"/>
      <c r="H14" s="52"/>
      <c r="I14" s="52"/>
      <c r="J14" s="52"/>
      <c r="K14" s="52"/>
      <c r="L14" s="52"/>
      <c r="M14" s="52"/>
      <c r="N14" s="52"/>
      <c r="O14" s="19"/>
      <c r="P14" s="19"/>
      <c r="Q14" s="20"/>
      <c r="R14" s="20"/>
      <c r="S14" s="20"/>
      <c r="T14" s="19"/>
      <c r="U14" s="21"/>
      <c r="V14" s="20"/>
    </row>
    <row r="15" spans="1:22" ht="15.75">
      <c r="A15" s="63">
        <v>2</v>
      </c>
      <c r="B15" s="64" t="s">
        <v>26</v>
      </c>
      <c r="C15" s="49"/>
      <c r="D15" s="50"/>
      <c r="E15" s="51"/>
      <c r="F15" s="52"/>
      <c r="G15" s="52"/>
      <c r="H15" s="52"/>
      <c r="I15" s="52"/>
      <c r="J15" s="52"/>
      <c r="K15" s="52"/>
      <c r="L15" s="52"/>
      <c r="M15" s="52"/>
      <c r="N15" s="52"/>
      <c r="O15" s="19"/>
      <c r="P15" s="19"/>
      <c r="Q15" s="20"/>
      <c r="R15" s="20"/>
      <c r="S15" s="20"/>
      <c r="T15" s="19"/>
      <c r="U15" s="21"/>
      <c r="V15" s="20"/>
    </row>
    <row r="16" spans="1:22" ht="15.75">
      <c r="A16" s="63">
        <v>1</v>
      </c>
      <c r="B16" s="29" t="s">
        <v>58</v>
      </c>
      <c r="C16" s="49"/>
      <c r="D16" s="50"/>
      <c r="E16" s="51"/>
      <c r="F16" s="52"/>
      <c r="G16" s="52"/>
      <c r="H16" s="52"/>
      <c r="I16" s="52"/>
      <c r="J16" s="52"/>
      <c r="K16" s="52"/>
      <c r="L16" s="52"/>
      <c r="M16" s="52"/>
      <c r="N16" s="52"/>
      <c r="O16" s="19"/>
      <c r="P16" s="19"/>
      <c r="Q16" s="20"/>
      <c r="R16" s="20"/>
      <c r="S16" s="20"/>
      <c r="T16" s="19"/>
      <c r="U16" s="21"/>
      <c r="V16" s="20"/>
    </row>
    <row r="17" spans="1:22" ht="15.75">
      <c r="A17" s="63">
        <v>1</v>
      </c>
      <c r="B17" s="64" t="s">
        <v>32</v>
      </c>
      <c r="C17" s="49">
        <v>13</v>
      </c>
      <c r="D17" s="50">
        <v>5</v>
      </c>
      <c r="E17" s="51">
        <v>1899</v>
      </c>
      <c r="F17" s="52">
        <v>104</v>
      </c>
      <c r="G17" s="52"/>
      <c r="H17" s="52"/>
      <c r="I17" s="52"/>
      <c r="J17" s="52"/>
      <c r="K17" s="52"/>
      <c r="L17" s="52"/>
      <c r="M17" s="52"/>
      <c r="N17" s="52"/>
      <c r="O17" s="19">
        <f t="shared" ref="O17:O34" si="15">SUM(E17:N17)</f>
        <v>2003</v>
      </c>
      <c r="P17" s="19">
        <f t="shared" ref="P17:P34" si="16">O17-M17-J17</f>
        <v>2003</v>
      </c>
      <c r="Q17" s="20">
        <f t="shared" ref="Q17:Q34" si="17">P17*9%</f>
        <v>180.26999999999998</v>
      </c>
      <c r="R17" s="20"/>
      <c r="S17" s="20">
        <f t="shared" ref="S17:S34" si="18">Q17+R17</f>
        <v>180.26999999999998</v>
      </c>
      <c r="T17" s="19">
        <f t="shared" ref="T17:T34" si="19">P17+S17</f>
        <v>2183.27</v>
      </c>
      <c r="U17" s="21" t="s">
        <v>19</v>
      </c>
      <c r="V17" s="20">
        <f>200.3+26.64+7.61</f>
        <v>234.55</v>
      </c>
    </row>
    <row r="18" spans="1:22" ht="16.5" thickBot="1">
      <c r="A18" s="53">
        <v>1</v>
      </c>
      <c r="B18" s="54" t="s">
        <v>52</v>
      </c>
      <c r="C18" s="55">
        <v>65</v>
      </c>
      <c r="D18" s="56">
        <v>5</v>
      </c>
      <c r="E18" s="57">
        <v>2121</v>
      </c>
      <c r="F18" s="58">
        <v>104</v>
      </c>
      <c r="G18" s="58"/>
      <c r="H18" s="58"/>
      <c r="I18" s="58"/>
      <c r="J18" s="58"/>
      <c r="K18" s="58"/>
      <c r="L18" s="58"/>
      <c r="M18" s="58"/>
      <c r="N18" s="58"/>
      <c r="O18" s="19">
        <f t="shared" si="15"/>
        <v>2225</v>
      </c>
      <c r="P18" s="19">
        <f t="shared" si="16"/>
        <v>2225</v>
      </c>
      <c r="Q18" s="20">
        <f t="shared" si="17"/>
        <v>200.25</v>
      </c>
      <c r="R18" s="20"/>
      <c r="S18" s="20">
        <f t="shared" si="18"/>
        <v>200.25</v>
      </c>
      <c r="T18" s="19">
        <f t="shared" si="19"/>
        <v>2425.25</v>
      </c>
      <c r="U18" s="21" t="s">
        <v>19</v>
      </c>
      <c r="V18" s="20">
        <f>222.5+29.59+8.46</f>
        <v>260.55</v>
      </c>
    </row>
    <row r="19" spans="1:22" ht="15.75">
      <c r="A19" s="47">
        <v>1</v>
      </c>
      <c r="B19" s="48" t="s">
        <v>47</v>
      </c>
      <c r="C19" s="49">
        <v>47</v>
      </c>
      <c r="D19" s="50">
        <v>5</v>
      </c>
      <c r="E19" s="51">
        <v>1848</v>
      </c>
      <c r="F19" s="52"/>
      <c r="G19" s="52"/>
      <c r="H19" s="52"/>
      <c r="I19" s="52"/>
      <c r="J19" s="52"/>
      <c r="K19" s="52">
        <v>1848</v>
      </c>
      <c r="L19" s="52"/>
      <c r="M19" s="52"/>
      <c r="N19" s="52"/>
      <c r="O19" s="19">
        <f t="shared" si="15"/>
        <v>3696</v>
      </c>
      <c r="P19" s="19">
        <f t="shared" si="16"/>
        <v>3696</v>
      </c>
      <c r="Q19" s="20">
        <f t="shared" si="17"/>
        <v>332.64</v>
      </c>
      <c r="R19" s="20"/>
      <c r="S19" s="20">
        <f t="shared" si="18"/>
        <v>332.64</v>
      </c>
      <c r="T19" s="19">
        <f t="shared" si="19"/>
        <v>4028.64</v>
      </c>
      <c r="U19" s="21" t="s">
        <v>19</v>
      </c>
      <c r="V19" s="20">
        <f>231.36+30.77+8.79</f>
        <v>270.92</v>
      </c>
    </row>
    <row r="20" spans="1:22" ht="15.75">
      <c r="A20" s="22">
        <v>2</v>
      </c>
      <c r="B20" s="23" t="s">
        <v>27</v>
      </c>
      <c r="C20" s="17">
        <v>34</v>
      </c>
      <c r="D20" s="18">
        <v>5</v>
      </c>
      <c r="E20" s="19">
        <v>1899</v>
      </c>
      <c r="F20" s="20">
        <f>75+131.6+263.2+131.6+50+131.6</f>
        <v>783</v>
      </c>
      <c r="G20" s="20"/>
      <c r="H20" s="20"/>
      <c r="I20" s="20"/>
      <c r="J20" s="20"/>
      <c r="K20" s="20"/>
      <c r="L20" s="20"/>
      <c r="M20" s="20"/>
      <c r="N20" s="20"/>
      <c r="O20" s="19">
        <f t="shared" si="15"/>
        <v>2682</v>
      </c>
      <c r="P20" s="19">
        <f t="shared" si="16"/>
        <v>2682</v>
      </c>
      <c r="Q20" s="20">
        <f t="shared" si="17"/>
        <v>241.38</v>
      </c>
      <c r="R20" s="20"/>
      <c r="S20" s="20">
        <f t="shared" si="18"/>
        <v>241.38</v>
      </c>
      <c r="T20" s="19">
        <f t="shared" si="19"/>
        <v>2923.38</v>
      </c>
      <c r="U20" s="21" t="s">
        <v>18</v>
      </c>
      <c r="V20" s="20">
        <f>+P20*12.88%</f>
        <v>345.44159999999999</v>
      </c>
    </row>
    <row r="21" spans="1:22" ht="15.75">
      <c r="A21" s="22">
        <v>1</v>
      </c>
      <c r="B21" s="23" t="s">
        <v>25</v>
      </c>
      <c r="C21" s="17">
        <v>59</v>
      </c>
      <c r="D21" s="18">
        <v>5</v>
      </c>
      <c r="E21" s="19">
        <v>1666</v>
      </c>
      <c r="F21" s="20">
        <f>75+92+174.1</f>
        <v>341.1</v>
      </c>
      <c r="G21" s="20"/>
      <c r="H21" s="20"/>
      <c r="I21" s="20"/>
      <c r="J21" s="20"/>
      <c r="K21" s="20"/>
      <c r="L21" s="20"/>
      <c r="M21" s="20">
        <v>92</v>
      </c>
      <c r="N21" s="20"/>
      <c r="O21" s="19">
        <f t="shared" si="15"/>
        <v>2099.1</v>
      </c>
      <c r="P21" s="19">
        <f t="shared" si="16"/>
        <v>2007.1</v>
      </c>
      <c r="Q21" s="20">
        <f t="shared" si="17"/>
        <v>180.63899999999998</v>
      </c>
      <c r="R21" s="20"/>
      <c r="S21" s="20">
        <f t="shared" si="18"/>
        <v>180.63899999999998</v>
      </c>
      <c r="T21" s="19">
        <f t="shared" si="19"/>
        <v>2187.739</v>
      </c>
      <c r="U21" s="21" t="s">
        <v>2</v>
      </c>
      <c r="V21" s="20">
        <f>+P21*12.93%</f>
        <v>259.51803000000001</v>
      </c>
    </row>
    <row r="22" spans="1:22" ht="15.75">
      <c r="A22" s="22">
        <v>2</v>
      </c>
      <c r="B22" s="23" t="s">
        <v>44</v>
      </c>
      <c r="C22" s="17">
        <v>47</v>
      </c>
      <c r="D22" s="18">
        <v>5</v>
      </c>
      <c r="E22" s="19">
        <v>1666</v>
      </c>
      <c r="F22" s="20">
        <f>75+84+116.07+174.1+58.03</f>
        <v>507.19999999999993</v>
      </c>
      <c r="G22" s="20"/>
      <c r="H22" s="20"/>
      <c r="I22" s="20"/>
      <c r="J22" s="20"/>
      <c r="K22" s="20"/>
      <c r="L22" s="20"/>
      <c r="M22" s="20">
        <v>92</v>
      </c>
      <c r="N22" s="20"/>
      <c r="O22" s="19">
        <f t="shared" si="15"/>
        <v>2265.1999999999998</v>
      </c>
      <c r="P22" s="19">
        <f t="shared" si="16"/>
        <v>2173.1999999999998</v>
      </c>
      <c r="Q22" s="20">
        <f t="shared" si="17"/>
        <v>195.58799999999997</v>
      </c>
      <c r="R22" s="20"/>
      <c r="S22" s="20">
        <f t="shared" si="18"/>
        <v>195.58799999999997</v>
      </c>
      <c r="T22" s="19">
        <f t="shared" si="19"/>
        <v>2368.7879999999996</v>
      </c>
      <c r="U22" s="21" t="s">
        <v>1</v>
      </c>
      <c r="V22" s="20">
        <f>+P22*13%</f>
        <v>282.51599999999996</v>
      </c>
    </row>
    <row r="23" spans="1:22" ht="15.75">
      <c r="A23" s="22">
        <v>3</v>
      </c>
      <c r="B23" s="23" t="s">
        <v>11</v>
      </c>
      <c r="C23" s="17">
        <v>38</v>
      </c>
      <c r="D23" s="18">
        <v>5</v>
      </c>
      <c r="E23" s="19">
        <v>1899</v>
      </c>
      <c r="F23" s="20">
        <f>75+100+50</f>
        <v>225</v>
      </c>
      <c r="G23" s="20"/>
      <c r="H23" s="20"/>
      <c r="I23" s="20"/>
      <c r="J23" s="20"/>
      <c r="K23" s="20"/>
      <c r="L23" s="20"/>
      <c r="M23" s="20"/>
      <c r="N23" s="20"/>
      <c r="O23" s="19">
        <f t="shared" si="15"/>
        <v>2124</v>
      </c>
      <c r="P23" s="19">
        <f t="shared" si="16"/>
        <v>2124</v>
      </c>
      <c r="Q23" s="20">
        <f t="shared" si="17"/>
        <v>191.16</v>
      </c>
      <c r="R23" s="20"/>
      <c r="S23" s="20">
        <f t="shared" si="18"/>
        <v>191.16</v>
      </c>
      <c r="T23" s="19">
        <f t="shared" si="19"/>
        <v>2315.16</v>
      </c>
      <c r="U23" s="21" t="s">
        <v>18</v>
      </c>
      <c r="V23" s="20">
        <f>212.4+28.25+26.13</f>
        <v>266.78000000000003</v>
      </c>
    </row>
    <row r="24" spans="1:22" ht="15.75">
      <c r="A24" s="22">
        <v>3</v>
      </c>
      <c r="B24" s="23" t="s">
        <v>45</v>
      </c>
      <c r="C24" s="17">
        <v>23</v>
      </c>
      <c r="D24" s="18">
        <v>5</v>
      </c>
      <c r="E24" s="19">
        <v>1666</v>
      </c>
      <c r="F24" s="20">
        <f>75+104+75</f>
        <v>254</v>
      </c>
      <c r="G24" s="20">
        <v>9.25</v>
      </c>
      <c r="H24" s="20"/>
      <c r="I24" s="20"/>
      <c r="J24" s="20"/>
      <c r="K24" s="20"/>
      <c r="L24" s="20"/>
      <c r="M24" s="20"/>
      <c r="N24" s="20"/>
      <c r="O24" s="19">
        <f t="shared" si="15"/>
        <v>1929.25</v>
      </c>
      <c r="P24" s="19">
        <f t="shared" si="16"/>
        <v>1929.25</v>
      </c>
      <c r="Q24" s="20">
        <f t="shared" si="17"/>
        <v>173.63249999999999</v>
      </c>
      <c r="R24" s="20"/>
      <c r="S24" s="20">
        <f t="shared" si="18"/>
        <v>173.63249999999999</v>
      </c>
      <c r="T24" s="19">
        <f t="shared" si="19"/>
        <v>2102.8825000000002</v>
      </c>
      <c r="U24" s="21" t="s">
        <v>18</v>
      </c>
      <c r="V24" s="20">
        <f>+P24*12.88%</f>
        <v>248.48740000000001</v>
      </c>
    </row>
    <row r="25" spans="1:22" ht="15.75">
      <c r="A25" s="22">
        <v>4</v>
      </c>
      <c r="B25" s="23" t="s">
        <v>46</v>
      </c>
      <c r="C25" s="17">
        <v>75</v>
      </c>
      <c r="D25" s="18">
        <v>5</v>
      </c>
      <c r="E25" s="19">
        <v>1848</v>
      </c>
      <c r="F25" s="20">
        <f>75+96+128.2+192.3+64.1</f>
        <v>555.6</v>
      </c>
      <c r="G25" s="20">
        <v>9.25</v>
      </c>
      <c r="H25" s="20"/>
      <c r="I25" s="20"/>
      <c r="J25" s="20"/>
      <c r="K25" s="20"/>
      <c r="L25" s="20"/>
      <c r="M25" s="20">
        <v>92</v>
      </c>
      <c r="N25" s="20"/>
      <c r="O25" s="19">
        <f t="shared" si="15"/>
        <v>2504.85</v>
      </c>
      <c r="P25" s="19">
        <f t="shared" si="16"/>
        <v>2412.85</v>
      </c>
      <c r="Q25" s="20">
        <f t="shared" si="17"/>
        <v>217.15649999999999</v>
      </c>
      <c r="R25" s="20"/>
      <c r="S25" s="20">
        <f t="shared" si="18"/>
        <v>217.15649999999999</v>
      </c>
      <c r="T25" s="19">
        <f t="shared" si="19"/>
        <v>2630.0065</v>
      </c>
      <c r="U25" s="21" t="s">
        <v>18</v>
      </c>
      <c r="V25" s="20">
        <f>+P25*12.88%</f>
        <v>310.77508</v>
      </c>
    </row>
    <row r="26" spans="1:22" ht="15.75">
      <c r="A26" s="22">
        <v>5</v>
      </c>
      <c r="B26" s="23" t="s">
        <v>41</v>
      </c>
      <c r="C26" s="17">
        <v>65</v>
      </c>
      <c r="D26" s="18">
        <v>5</v>
      </c>
      <c r="E26" s="19">
        <v>1848</v>
      </c>
      <c r="F26" s="20">
        <f>92+123.2+184.8+61.6</f>
        <v>461.6</v>
      </c>
      <c r="G26" s="20"/>
      <c r="H26" s="20"/>
      <c r="I26" s="20"/>
      <c r="J26" s="20"/>
      <c r="K26" s="20"/>
      <c r="L26" s="20"/>
      <c r="M26" s="20">
        <v>92</v>
      </c>
      <c r="N26" s="20"/>
      <c r="O26" s="19">
        <f t="shared" si="15"/>
        <v>2401.6</v>
      </c>
      <c r="P26" s="19">
        <f t="shared" si="16"/>
        <v>2309.6</v>
      </c>
      <c r="Q26" s="20">
        <f t="shared" si="17"/>
        <v>207.86399999999998</v>
      </c>
      <c r="R26" s="20"/>
      <c r="S26" s="20">
        <f t="shared" si="18"/>
        <v>207.86399999999998</v>
      </c>
      <c r="T26" s="19">
        <f t="shared" si="19"/>
        <v>2517.4639999999999</v>
      </c>
      <c r="U26" s="21" t="s">
        <v>0</v>
      </c>
      <c r="V26" s="20">
        <f>+P26*13.02%</f>
        <v>300.70991999999995</v>
      </c>
    </row>
    <row r="27" spans="1:22" ht="15.75">
      <c r="A27" s="22">
        <v>5</v>
      </c>
      <c r="B27" s="23" t="s">
        <v>13</v>
      </c>
      <c r="C27" s="17">
        <v>15</v>
      </c>
      <c r="D27" s="18">
        <v>5</v>
      </c>
      <c r="E27" s="19">
        <v>1666</v>
      </c>
      <c r="F27" s="20">
        <f>75+100+50</f>
        <v>225</v>
      </c>
      <c r="G27" s="20"/>
      <c r="H27" s="20"/>
      <c r="I27" s="20"/>
      <c r="J27" s="20"/>
      <c r="K27" s="20"/>
      <c r="L27" s="20"/>
      <c r="M27" s="20"/>
      <c r="N27" s="20"/>
      <c r="O27" s="19">
        <f t="shared" si="15"/>
        <v>1891</v>
      </c>
      <c r="P27" s="19">
        <f t="shared" si="16"/>
        <v>1891</v>
      </c>
      <c r="Q27" s="20">
        <f t="shared" si="17"/>
        <v>170.19</v>
      </c>
      <c r="R27" s="20"/>
      <c r="S27" s="20">
        <f t="shared" si="18"/>
        <v>170.19</v>
      </c>
      <c r="T27" s="19">
        <f t="shared" si="19"/>
        <v>2061.19</v>
      </c>
      <c r="U27" s="21" t="s">
        <v>0</v>
      </c>
      <c r="V27" s="20">
        <f>+P27*13.02%</f>
        <v>246.20819999999998</v>
      </c>
    </row>
    <row r="28" spans="1:22" ht="15.75">
      <c r="A28" s="22">
        <v>4</v>
      </c>
      <c r="B28" s="23" t="s">
        <v>40</v>
      </c>
      <c r="C28" s="17">
        <v>31</v>
      </c>
      <c r="D28" s="18">
        <v>5</v>
      </c>
      <c r="E28" s="19">
        <v>1848</v>
      </c>
      <c r="F28" s="20">
        <f>75+72</f>
        <v>147</v>
      </c>
      <c r="G28" s="20"/>
      <c r="H28" s="20"/>
      <c r="I28" s="20"/>
      <c r="J28" s="20"/>
      <c r="K28" s="20"/>
      <c r="L28" s="20"/>
      <c r="M28" s="20"/>
      <c r="N28" s="20"/>
      <c r="O28" s="19">
        <f t="shared" si="15"/>
        <v>1995</v>
      </c>
      <c r="P28" s="19">
        <f t="shared" si="16"/>
        <v>1995</v>
      </c>
      <c r="Q28" s="20">
        <f t="shared" si="17"/>
        <v>179.54999999999998</v>
      </c>
      <c r="R28" s="20"/>
      <c r="S28" s="20">
        <f t="shared" si="18"/>
        <v>179.54999999999998</v>
      </c>
      <c r="T28" s="19">
        <f t="shared" si="19"/>
        <v>2174.5500000000002</v>
      </c>
      <c r="U28" s="21" t="s">
        <v>0</v>
      </c>
      <c r="V28" s="20">
        <f>+P28*13.02%</f>
        <v>259.74899999999997</v>
      </c>
    </row>
    <row r="29" spans="1:22" ht="15.75">
      <c r="A29" s="22">
        <v>7</v>
      </c>
      <c r="B29" s="23" t="s">
        <v>30</v>
      </c>
      <c r="C29" s="17">
        <v>45</v>
      </c>
      <c r="D29" s="18">
        <v>5</v>
      </c>
      <c r="E29" s="19">
        <v>1848</v>
      </c>
      <c r="F29" s="20">
        <v>100</v>
      </c>
      <c r="G29" s="20"/>
      <c r="H29" s="20"/>
      <c r="I29" s="20"/>
      <c r="J29" s="20"/>
      <c r="K29" s="20"/>
      <c r="L29" s="20"/>
      <c r="M29" s="20"/>
      <c r="N29" s="20"/>
      <c r="O29" s="19">
        <f t="shared" si="15"/>
        <v>1948</v>
      </c>
      <c r="P29" s="19">
        <f t="shared" si="16"/>
        <v>1948</v>
      </c>
      <c r="Q29" s="20">
        <f t="shared" si="17"/>
        <v>175.32</v>
      </c>
      <c r="R29" s="20"/>
      <c r="S29" s="20">
        <f t="shared" si="18"/>
        <v>175.32</v>
      </c>
      <c r="T29" s="19">
        <f t="shared" si="19"/>
        <v>2123.3200000000002</v>
      </c>
      <c r="U29" s="21" t="s">
        <v>18</v>
      </c>
      <c r="V29" s="20">
        <f>+P29*12.88%</f>
        <v>250.9024</v>
      </c>
    </row>
    <row r="30" spans="1:22" ht="15.75">
      <c r="A30" s="22">
        <v>6</v>
      </c>
      <c r="B30" s="23" t="s">
        <v>14</v>
      </c>
      <c r="C30" s="17">
        <v>61</v>
      </c>
      <c r="D30" s="18">
        <v>5</v>
      </c>
      <c r="E30" s="19">
        <v>1951</v>
      </c>
      <c r="F30" s="20">
        <v>75</v>
      </c>
      <c r="G30" s="20"/>
      <c r="H30" s="20"/>
      <c r="I30" s="20"/>
      <c r="J30" s="20"/>
      <c r="K30" s="20">
        <v>2026</v>
      </c>
      <c r="L30" s="20"/>
      <c r="M30" s="20"/>
      <c r="N30" s="20"/>
      <c r="O30" s="19">
        <f t="shared" si="15"/>
        <v>4052</v>
      </c>
      <c r="P30" s="19">
        <f t="shared" si="16"/>
        <v>4052</v>
      </c>
      <c r="Q30" s="20">
        <f t="shared" si="17"/>
        <v>364.68</v>
      </c>
      <c r="R30" s="20"/>
      <c r="S30" s="20">
        <f t="shared" si="18"/>
        <v>364.68</v>
      </c>
      <c r="T30" s="19">
        <f t="shared" si="19"/>
        <v>4416.68</v>
      </c>
      <c r="U30" s="21" t="s">
        <v>0</v>
      </c>
      <c r="V30" s="20">
        <f>+P30*13.02%</f>
        <v>527.57039999999995</v>
      </c>
    </row>
    <row r="31" spans="1:22" ht="15.75">
      <c r="A31" s="22">
        <v>8</v>
      </c>
      <c r="B31" s="23" t="s">
        <v>53</v>
      </c>
      <c r="C31" s="17">
        <v>44</v>
      </c>
      <c r="D31" s="18">
        <v>5</v>
      </c>
      <c r="E31" s="19">
        <v>1848</v>
      </c>
      <c r="F31" s="20">
        <f>92+123.2+184.8+61.6</f>
        <v>461.6</v>
      </c>
      <c r="G31" s="20"/>
      <c r="H31" s="20"/>
      <c r="I31" s="20"/>
      <c r="J31" s="20"/>
      <c r="K31" s="20"/>
      <c r="L31" s="20"/>
      <c r="M31" s="20">
        <v>80.5</v>
      </c>
      <c r="N31" s="20"/>
      <c r="O31" s="19">
        <f t="shared" si="15"/>
        <v>2390.1</v>
      </c>
      <c r="P31" s="19">
        <f t="shared" si="16"/>
        <v>2309.6</v>
      </c>
      <c r="Q31" s="20">
        <f t="shared" si="17"/>
        <v>207.86399999999998</v>
      </c>
      <c r="R31" s="20"/>
      <c r="S31" s="20">
        <f t="shared" si="18"/>
        <v>207.86399999999998</v>
      </c>
      <c r="T31" s="19">
        <f t="shared" si="19"/>
        <v>2517.4639999999999</v>
      </c>
      <c r="U31" s="21" t="s">
        <v>0</v>
      </c>
      <c r="V31" s="20">
        <f>230.96+30.72+33.72</f>
        <v>295.39999999999998</v>
      </c>
    </row>
    <row r="32" spans="1:22" ht="15.75">
      <c r="A32" s="22">
        <v>6</v>
      </c>
      <c r="B32" s="23" t="s">
        <v>15</v>
      </c>
      <c r="C32" s="17">
        <v>51</v>
      </c>
      <c r="D32" s="18">
        <v>5</v>
      </c>
      <c r="E32" s="19">
        <v>1666</v>
      </c>
      <c r="F32" s="20">
        <f>75+92+174.1</f>
        <v>341.1</v>
      </c>
      <c r="G32" s="20"/>
      <c r="H32" s="20"/>
      <c r="I32" s="20"/>
      <c r="J32" s="20"/>
      <c r="K32" s="20"/>
      <c r="L32" s="20"/>
      <c r="M32" s="20">
        <v>92</v>
      </c>
      <c r="N32" s="20"/>
      <c r="O32" s="19">
        <f t="shared" si="15"/>
        <v>2099.1</v>
      </c>
      <c r="P32" s="19">
        <f t="shared" si="16"/>
        <v>2007.1</v>
      </c>
      <c r="Q32" s="20">
        <f t="shared" si="17"/>
        <v>180.63899999999998</v>
      </c>
      <c r="R32" s="20"/>
      <c r="S32" s="20">
        <f t="shared" si="18"/>
        <v>180.63899999999998</v>
      </c>
      <c r="T32" s="19">
        <f t="shared" si="19"/>
        <v>2187.739</v>
      </c>
      <c r="U32" s="21" t="s">
        <v>18</v>
      </c>
      <c r="V32" s="20">
        <f>200.71+26.69+24.69</f>
        <v>252.09</v>
      </c>
    </row>
    <row r="33" spans="1:22" ht="15.75">
      <c r="A33" s="22">
        <v>9</v>
      </c>
      <c r="B33" s="23" t="s">
        <v>54</v>
      </c>
      <c r="C33" s="17">
        <v>75</v>
      </c>
      <c r="D33" s="18">
        <v>5</v>
      </c>
      <c r="E33" s="19">
        <v>1848</v>
      </c>
      <c r="F33" s="20">
        <f>75+92+128.2+192.3+64.1</f>
        <v>551.6</v>
      </c>
      <c r="G33" s="20"/>
      <c r="H33" s="20"/>
      <c r="I33" s="20"/>
      <c r="J33" s="20"/>
      <c r="K33" s="20"/>
      <c r="L33" s="20"/>
      <c r="M33" s="20">
        <v>92</v>
      </c>
      <c r="N33" s="20"/>
      <c r="O33" s="19">
        <f t="shared" si="15"/>
        <v>2491.6</v>
      </c>
      <c r="P33" s="19">
        <f t="shared" si="16"/>
        <v>2399.6</v>
      </c>
      <c r="Q33" s="20">
        <f t="shared" si="17"/>
        <v>215.96399999999997</v>
      </c>
      <c r="R33" s="20"/>
      <c r="S33" s="20">
        <f t="shared" si="18"/>
        <v>215.96399999999997</v>
      </c>
      <c r="T33" s="19">
        <f t="shared" si="19"/>
        <v>2615.5639999999999</v>
      </c>
      <c r="U33" s="21" t="s">
        <v>1</v>
      </c>
      <c r="V33" s="20">
        <f>+P33*13%</f>
        <v>311.94799999999998</v>
      </c>
    </row>
    <row r="34" spans="1:22" ht="15.75">
      <c r="A34" s="22">
        <v>10</v>
      </c>
      <c r="B34" s="23" t="s">
        <v>55</v>
      </c>
      <c r="C34" s="17">
        <v>53</v>
      </c>
      <c r="D34" s="18">
        <v>5</v>
      </c>
      <c r="E34" s="19">
        <v>1899</v>
      </c>
      <c r="F34" s="20">
        <f>75+100</f>
        <v>175</v>
      </c>
      <c r="G34" s="20"/>
      <c r="H34" s="20"/>
      <c r="I34" s="20"/>
      <c r="J34" s="20"/>
      <c r="K34" s="20"/>
      <c r="L34" s="20"/>
      <c r="M34" s="20"/>
      <c r="N34" s="20"/>
      <c r="O34" s="19">
        <f t="shared" si="15"/>
        <v>2074</v>
      </c>
      <c r="P34" s="19">
        <f t="shared" si="16"/>
        <v>2074</v>
      </c>
      <c r="Q34" s="20">
        <f t="shared" si="17"/>
        <v>186.66</v>
      </c>
      <c r="R34" s="20"/>
      <c r="S34" s="20">
        <f t="shared" si="18"/>
        <v>186.66</v>
      </c>
      <c r="T34" s="19">
        <f t="shared" si="19"/>
        <v>2260.66</v>
      </c>
      <c r="U34" s="21" t="s">
        <v>18</v>
      </c>
      <c r="V34" s="20">
        <f>+P34*12.88%</f>
        <v>267.13119999999998</v>
      </c>
    </row>
  </sheetData>
  <sortState ref="A16:V31">
    <sortCondition ref="B16"/>
  </sortState>
  <pageMargins left="0.15748031496062992" right="0.15748031496062992" top="0.31496062992125984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ENERO-15</vt:lpstr>
      <vt:lpstr>FEBRERO-15</vt:lpstr>
      <vt:lpstr>MARZO-15</vt:lpstr>
      <vt:lpstr>ABRIL-15</vt:lpstr>
      <vt:lpstr>MAYO-15</vt:lpstr>
      <vt:lpstr>JUNIO-15</vt:lpstr>
      <vt:lpstr>JULIO-15</vt:lpstr>
      <vt:lpstr>AGOSTO-15</vt:lpstr>
      <vt:lpstr>SETIEMBRE-15</vt:lpstr>
      <vt:lpstr>OCTUBRE-15</vt:lpstr>
      <vt:lpstr>NOVIEMBRE-15</vt:lpstr>
      <vt:lpstr>DICIEMBRE-15</vt:lpstr>
      <vt:lpstr>Resumen</vt:lpstr>
      <vt:lpstr>Resumen!Títulos_a_imprimir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2016-06-06T16:29:14Z</dcterms:modified>
</cp:coreProperties>
</file>