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Hoja1" sheetId="2" r:id="rId1"/>
    <sheet name="Hoja2" sheetId="1" r:id="rId2"/>
    <sheet name="Hoja3" sheetId="4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2" i="2"/>
  <c r="E11"/>
  <c r="E10"/>
  <c r="E9"/>
  <c r="E8" l="1"/>
  <c r="E7"/>
  <c r="F11"/>
  <c r="F9"/>
  <c r="E6"/>
  <c r="F7"/>
  <c r="E5" l="1"/>
  <c r="F5" s="1"/>
  <c r="F27" i="4" l="1"/>
  <c r="H20"/>
  <c r="H7"/>
  <c r="E20"/>
  <c r="E7"/>
  <c r="D7"/>
  <c r="C7"/>
  <c r="H21"/>
  <c r="H8"/>
  <c r="E21"/>
  <c r="E8"/>
  <c r="D8"/>
  <c r="C8"/>
  <c r="H22"/>
  <c r="H9"/>
  <c r="E22"/>
  <c r="E9"/>
  <c r="D9"/>
  <c r="C9"/>
  <c r="H23"/>
  <c r="H10"/>
  <c r="E23"/>
  <c r="F23" s="1"/>
  <c r="I23" s="1"/>
  <c r="E10"/>
  <c r="D10"/>
  <c r="C10"/>
  <c r="H24"/>
  <c r="H11"/>
  <c r="E24"/>
  <c r="F24" s="1"/>
  <c r="I24" s="1"/>
  <c r="E11"/>
  <c r="D11"/>
  <c r="C11"/>
  <c r="H25"/>
  <c r="H12"/>
  <c r="E25"/>
  <c r="F25" s="1"/>
  <c r="F22"/>
  <c r="F21"/>
  <c r="F20"/>
  <c r="E12"/>
  <c r="D12"/>
  <c r="C12"/>
  <c r="H36"/>
  <c r="H35"/>
  <c r="H26"/>
  <c r="G26"/>
  <c r="E26"/>
  <c r="D26"/>
  <c r="C26"/>
  <c r="I21"/>
  <c r="I20"/>
  <c r="H13"/>
  <c r="G13"/>
  <c r="E13"/>
  <c r="D13"/>
  <c r="C13"/>
  <c r="F12"/>
  <c r="I12" s="1"/>
  <c r="F11"/>
  <c r="I11" s="1"/>
  <c r="F10"/>
  <c r="I10" s="1"/>
  <c r="F9"/>
  <c r="I9" s="1"/>
  <c r="F8"/>
  <c r="I8" s="1"/>
  <c r="F7"/>
  <c r="H26" i="1"/>
  <c r="G26"/>
  <c r="E26"/>
  <c r="D26"/>
  <c r="C26"/>
  <c r="I25"/>
  <c r="I24"/>
  <c r="I23"/>
  <c r="I22"/>
  <c r="I21"/>
  <c r="F26"/>
  <c r="I12"/>
  <c r="F12"/>
  <c r="F10"/>
  <c r="I10" s="1"/>
  <c r="F11"/>
  <c r="F9"/>
  <c r="I9" s="1"/>
  <c r="F8"/>
  <c r="I8" s="1"/>
  <c r="F7"/>
  <c r="I7" s="1"/>
  <c r="H13"/>
  <c r="G13"/>
  <c r="E13"/>
  <c r="D13"/>
  <c r="C13"/>
  <c r="H36"/>
  <c r="H35"/>
  <c r="I22" i="4" l="1"/>
  <c r="F26"/>
  <c r="I26" s="1"/>
  <c r="I25"/>
  <c r="F13"/>
  <c r="I13" s="1"/>
  <c r="I7"/>
  <c r="I26" i="1"/>
  <c r="F13"/>
  <c r="I13" s="1"/>
  <c r="I11"/>
  <c r="I20"/>
</calcChain>
</file>

<file path=xl/sharedStrings.xml><?xml version="1.0" encoding="utf-8"?>
<sst xmlns="http://schemas.openxmlformats.org/spreadsheetml/2006/main" count="98" uniqueCount="39">
  <si>
    <t>Iquitos</t>
  </si>
  <si>
    <t>Ygs</t>
  </si>
  <si>
    <t>Req</t>
  </si>
  <si>
    <t>Ene</t>
  </si>
  <si>
    <t>Feb</t>
  </si>
  <si>
    <t>Mar</t>
  </si>
  <si>
    <t>Abr</t>
  </si>
  <si>
    <t>May</t>
  </si>
  <si>
    <t>Jun</t>
  </si>
  <si>
    <t>Gerente</t>
  </si>
  <si>
    <t>Gerentes</t>
  </si>
  <si>
    <t>Jefes Ofic</t>
  </si>
  <si>
    <t>Jefe Oficina</t>
  </si>
  <si>
    <t>Meses</t>
  </si>
  <si>
    <t>Total</t>
  </si>
  <si>
    <t>Sumatoria Remuneración Ejecutivos - Enero a Junio 2014</t>
  </si>
  <si>
    <t>Total Iqts</t>
  </si>
  <si>
    <t>Sumatoria Remuneración Total de Personal - Enero a Junio 2014</t>
  </si>
  <si>
    <t>Indicador</t>
  </si>
  <si>
    <t>Fórmula</t>
  </si>
  <si>
    <t>Datos</t>
  </si>
  <si>
    <t>Parciales</t>
  </si>
  <si>
    <t>Resultado</t>
  </si>
  <si>
    <t>Distancia Salarial Interna</t>
  </si>
  <si>
    <t>(ΣRPD / #PD)</t>
  </si>
  <si>
    <t>(ΣRTP - ΣRPD) / (#TP-#PD)</t>
  </si>
  <si>
    <t>Yurimaguas</t>
  </si>
  <si>
    <t>Requena</t>
  </si>
  <si>
    <t>ΣRPD = Total Remuneraciones Personal Directivo</t>
  </si>
  <si>
    <t>#PD = Numero de Personal Directivo</t>
  </si>
  <si>
    <t>ΣRTP = Total Remuneraciones del Personal</t>
  </si>
  <si>
    <t>#TP = Numero Total de Personal</t>
  </si>
  <si>
    <t>(32244+116223+472572) / 28</t>
  </si>
  <si>
    <t>Indices  Clima  Laboral  EPS  SEDALORETO S.A.  -  Al  30  de  Junio  (I Semestre)  2014</t>
  </si>
  <si>
    <t>(614363+619897+628314+548231+577261+574344-32244-116223-472572) / (242+45-28)</t>
  </si>
  <si>
    <t>22235 / 1</t>
  </si>
  <si>
    <t>(553156-22235) / (29+18-1)</t>
  </si>
  <si>
    <t>15375 / 1</t>
  </si>
  <si>
    <t>(118246-15375) / (8+3-1)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</si>
</sst>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8" xfId="0" applyBorder="1"/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/>
    <xf numFmtId="3" fontId="0" fillId="0" borderId="21" xfId="0" applyNumberFormat="1" applyBorder="1"/>
    <xf numFmtId="3" fontId="0" fillId="0" borderId="2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22" xfId="0" applyNumberFormat="1" applyBorder="1"/>
    <xf numFmtId="3" fontId="0" fillId="0" borderId="4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23" xfId="0" applyNumberFormat="1" applyBorder="1"/>
    <xf numFmtId="3" fontId="0" fillId="0" borderId="3" xfId="0" applyNumberForma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24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4" xfId="0" applyNumberFormat="1" applyFont="1" applyBorder="1"/>
    <xf numFmtId="3" fontId="1" fillId="0" borderId="3" xfId="0" applyNumberFormat="1" applyFont="1" applyBorder="1"/>
    <xf numFmtId="0" fontId="1" fillId="0" borderId="1" xfId="0" applyFont="1" applyBorder="1"/>
    <xf numFmtId="3" fontId="0" fillId="2" borderId="23" xfId="0" applyNumberFormat="1" applyFill="1" applyBorder="1"/>
    <xf numFmtId="3" fontId="0" fillId="2" borderId="7" xfId="0" applyNumberFormat="1" applyFill="1" applyBorder="1"/>
    <xf numFmtId="3" fontId="0" fillId="2" borderId="8" xfId="0" applyNumberFormat="1" applyFill="1" applyBorder="1"/>
    <xf numFmtId="3" fontId="0" fillId="2" borderId="3" xfId="0" applyNumberFormat="1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3" fontId="0" fillId="2" borderId="22" xfId="0" applyNumberFormat="1" applyFill="1" applyBorder="1"/>
    <xf numFmtId="3" fontId="0" fillId="2" borderId="4" xfId="0" applyNumberFormat="1" applyFill="1" applyBorder="1"/>
    <xf numFmtId="3" fontId="0" fillId="2" borderId="5" xfId="0" applyNumberFormat="1" applyFill="1" applyBorder="1"/>
    <xf numFmtId="3" fontId="0" fillId="2" borderId="6" xfId="0" applyNumberFormat="1" applyFill="1" applyBorder="1"/>
    <xf numFmtId="3" fontId="0" fillId="2" borderId="21" xfId="0" applyNumberFormat="1" applyFill="1" applyBorder="1"/>
    <xf numFmtId="3" fontId="0" fillId="2" borderId="2" xfId="0" applyNumberFormat="1" applyFill="1" applyBorder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35" xfId="0" applyFont="1" applyFill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/>
    <xf numFmtId="0" fontId="4" fillId="0" borderId="42" xfId="0" applyFont="1" applyBorder="1"/>
    <xf numFmtId="0" fontId="3" fillId="0" borderId="40" xfId="0" applyFont="1" applyBorder="1"/>
    <xf numFmtId="0" fontId="4" fillId="0" borderId="43" xfId="0" applyFont="1" applyBorder="1"/>
    <xf numFmtId="0" fontId="3" fillId="0" borderId="38" xfId="0" applyFont="1" applyBorder="1"/>
    <xf numFmtId="0" fontId="4" fillId="0" borderId="44" xfId="0" applyFont="1" applyBorder="1"/>
    <xf numFmtId="0" fontId="4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4" borderId="45" xfId="0" applyFont="1" applyFill="1" applyBorder="1" applyAlignment="1">
      <alignment horizontal="center" wrapText="1"/>
    </xf>
    <xf numFmtId="4" fontId="3" fillId="4" borderId="35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0" fillId="0" borderId="0" xfId="0" applyAlignment="1"/>
    <xf numFmtId="0" fontId="3" fillId="4" borderId="35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4" borderId="36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67</xdr:row>
      <xdr:rowOff>0</xdr:rowOff>
    </xdr:from>
    <xdr:to>
      <xdr:col>2</xdr:col>
      <xdr:colOff>914700</xdr:colOff>
      <xdr:row>67</xdr:row>
      <xdr:rowOff>0</xdr:rowOff>
    </xdr:to>
    <xdr:cxnSp macro="">
      <xdr:nvCxnSpPr>
        <xdr:cNvPr id="2" name="1 Conector recto"/>
        <xdr:cNvCxnSpPr/>
      </xdr:nvCxnSpPr>
      <xdr:spPr>
        <a:xfrm>
          <a:off x="2247900" y="13763625"/>
          <a:ext cx="64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MD\P%20P%20T%20O\Ppto-2014\Ejecucion\Control%20de%20gas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resos"/>
      <sheetName val="Consolidado Real"/>
      <sheetName val="Iquitos"/>
      <sheetName val="Yurimaguas"/>
      <sheetName val="Requena"/>
      <sheetName val="Hoja1"/>
    </sheetNames>
    <sheetDataSet>
      <sheetData sheetId="0"/>
      <sheetData sheetId="1"/>
      <sheetData sheetId="2">
        <row r="572">
          <cell r="AA572">
            <v>238402</v>
          </cell>
        </row>
        <row r="573">
          <cell r="AA573">
            <v>299642.56</v>
          </cell>
        </row>
        <row r="578">
          <cell r="AA578">
            <v>28490</v>
          </cell>
        </row>
        <row r="579">
          <cell r="AA579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tabSelected="1" workbookViewId="0">
      <selection activeCell="H9" sqref="H9"/>
    </sheetView>
  </sheetViews>
  <sheetFormatPr baseColWidth="10" defaultRowHeight="15"/>
  <cols>
    <col min="1" max="1" width="1.42578125" customWidth="1"/>
    <col min="2" max="2" width="28.28515625" customWidth="1"/>
    <col min="3" max="3" width="25" style="62" customWidth="1"/>
    <col min="4" max="4" width="58.85546875" style="62" customWidth="1"/>
    <col min="5" max="5" width="12.5703125" customWidth="1"/>
    <col min="6" max="6" width="10.7109375" customWidth="1"/>
    <col min="7" max="7" width="11.42578125" style="53"/>
    <col min="8" max="8" width="23.5703125" customWidth="1"/>
    <col min="9" max="9" width="4.28515625" customWidth="1"/>
  </cols>
  <sheetData>
    <row r="1" spans="2:11">
      <c r="G1" s="63"/>
    </row>
    <row r="2" spans="2:11" ht="14.25" customHeight="1">
      <c r="B2" s="83" t="s">
        <v>33</v>
      </c>
      <c r="C2" s="83"/>
      <c r="D2" s="83"/>
      <c r="E2" s="83"/>
      <c r="F2" s="83"/>
      <c r="G2" s="63"/>
    </row>
    <row r="3" spans="2:11" ht="14.25" customHeight="1" thickBot="1">
      <c r="B3" s="44"/>
      <c r="C3" s="44"/>
      <c r="D3" s="44"/>
      <c r="E3" s="44"/>
      <c r="G3" s="63"/>
    </row>
    <row r="4" spans="2:11" s="49" customFormat="1" ht="27.75" customHeight="1" thickBot="1">
      <c r="B4" s="45" t="s">
        <v>18</v>
      </c>
      <c r="C4" s="46" t="s">
        <v>19</v>
      </c>
      <c r="D4" s="46" t="s">
        <v>20</v>
      </c>
      <c r="E4" s="47" t="s">
        <v>21</v>
      </c>
      <c r="F4" s="48" t="s">
        <v>22</v>
      </c>
      <c r="G4" s="63"/>
    </row>
    <row r="5" spans="2:11" ht="18" customHeight="1">
      <c r="B5" s="78" t="s">
        <v>23</v>
      </c>
      <c r="C5" s="50" t="s">
        <v>24</v>
      </c>
      <c r="D5" s="55"/>
      <c r="E5" s="51">
        <f>+E7+E9+E11</f>
        <v>59789.96428571429</v>
      </c>
      <c r="F5" s="76">
        <f>+E5/E6</f>
        <v>1.8016891140160793</v>
      </c>
      <c r="G5" s="64"/>
    </row>
    <row r="6" spans="2:11" ht="18" customHeight="1">
      <c r="B6" s="82"/>
      <c r="C6" s="50" t="s">
        <v>25</v>
      </c>
      <c r="D6" s="50"/>
      <c r="E6" s="52">
        <f>+E8+E10+E12</f>
        <v>33185.505657210007</v>
      </c>
      <c r="F6" s="77"/>
      <c r="G6" s="64"/>
    </row>
    <row r="7" spans="2:11" s="68" customFormat="1" ht="18" customHeight="1">
      <c r="B7" s="79"/>
      <c r="C7" s="74" t="s">
        <v>0</v>
      </c>
      <c r="D7" s="65" t="s">
        <v>32</v>
      </c>
      <c r="E7" s="66">
        <f>+(32244+116223+472572)/28</f>
        <v>22179.964285714286</v>
      </c>
      <c r="F7" s="76">
        <f>+E7/E8</f>
        <v>1.9530384810348644</v>
      </c>
      <c r="G7" s="64"/>
      <c r="H7" s="67"/>
    </row>
    <row r="8" spans="2:11" s="73" customFormat="1" ht="29.25" customHeight="1">
      <c r="B8" s="80"/>
      <c r="C8" s="75"/>
      <c r="D8" s="92" t="s">
        <v>34</v>
      </c>
      <c r="E8" s="70">
        <f>+(614363+619897+628314+548231+577261+574344-32244-116223-472572)/(242+45-28)</f>
        <v>11356.644787644787</v>
      </c>
      <c r="F8" s="77"/>
      <c r="G8" s="71"/>
      <c r="H8" s="72"/>
    </row>
    <row r="9" spans="2:11" s="68" customFormat="1" ht="18" customHeight="1">
      <c r="B9" s="80"/>
      <c r="C9" s="74" t="s">
        <v>26</v>
      </c>
      <c r="D9" s="65" t="s">
        <v>35</v>
      </c>
      <c r="E9" s="69">
        <f>22235/1</f>
        <v>22235</v>
      </c>
      <c r="F9" s="76">
        <f t="shared" ref="F9" si="0">+E9/E10</f>
        <v>1.9264824710267627</v>
      </c>
      <c r="G9" s="64"/>
      <c r="H9" s="54"/>
    </row>
    <row r="10" spans="2:11" s="73" customFormat="1" ht="18" customHeight="1">
      <c r="B10" s="80"/>
      <c r="C10" s="75"/>
      <c r="D10" s="70" t="s">
        <v>36</v>
      </c>
      <c r="E10" s="70">
        <f>+(553156-22235)/(29+18-1)</f>
        <v>11541.760869565218</v>
      </c>
      <c r="F10" s="77"/>
      <c r="G10" s="71"/>
      <c r="H10" s="72"/>
    </row>
    <row r="11" spans="2:11" s="68" customFormat="1" ht="18" customHeight="1">
      <c r="B11" s="80"/>
      <c r="C11" s="74" t="s">
        <v>27</v>
      </c>
      <c r="D11" s="65" t="s">
        <v>37</v>
      </c>
      <c r="E11" s="69">
        <f>15375/1</f>
        <v>15375</v>
      </c>
      <c r="F11" s="76">
        <f t="shared" ref="F11" si="1">+E11/E12</f>
        <v>1.4945903121385036</v>
      </c>
      <c r="G11" s="64"/>
    </row>
    <row r="12" spans="2:11" s="73" customFormat="1" ht="18" customHeight="1">
      <c r="B12" s="81"/>
      <c r="C12" s="75"/>
      <c r="D12" s="70" t="s">
        <v>38</v>
      </c>
      <c r="E12" s="70">
        <f>+(118246-15375)/(8+3-1)</f>
        <v>10287.1</v>
      </c>
      <c r="F12" s="77"/>
      <c r="G12" s="71"/>
    </row>
    <row r="13" spans="2:11">
      <c r="G13" s="64"/>
    </row>
    <row r="14" spans="2:11">
      <c r="G14" s="64"/>
    </row>
    <row r="15" spans="2:11">
      <c r="C15" s="56" t="s">
        <v>28</v>
      </c>
      <c r="D15" s="57"/>
      <c r="G15" s="64"/>
      <c r="I15" s="53"/>
      <c r="K15" s="53"/>
    </row>
    <row r="16" spans="2:11">
      <c r="C16" s="60" t="s">
        <v>29</v>
      </c>
      <c r="D16" s="61"/>
      <c r="G16" s="64"/>
    </row>
    <row r="17" spans="3:7">
      <c r="C17" s="60" t="s">
        <v>30</v>
      </c>
      <c r="D17" s="61"/>
      <c r="G17" s="64"/>
    </row>
    <row r="18" spans="3:7">
      <c r="C18" s="58" t="s">
        <v>31</v>
      </c>
      <c r="D18" s="59"/>
      <c r="G18" s="64"/>
    </row>
    <row r="19" spans="3:7">
      <c r="G19" s="64"/>
    </row>
    <row r="20" spans="3:7">
      <c r="G20" s="64"/>
    </row>
    <row r="21" spans="3:7">
      <c r="G21" s="64"/>
    </row>
    <row r="22" spans="3:7">
      <c r="G22" s="64"/>
    </row>
    <row r="23" spans="3:7">
      <c r="G23" s="64"/>
    </row>
    <row r="24" spans="3:7">
      <c r="G24" s="64"/>
    </row>
    <row r="25" spans="3:7">
      <c r="G25" s="64"/>
    </row>
    <row r="26" spans="3:7">
      <c r="G26" s="64"/>
    </row>
  </sheetData>
  <mergeCells count="10">
    <mergeCell ref="B5:B6"/>
    <mergeCell ref="F5:F6"/>
    <mergeCell ref="B2:F2"/>
    <mergeCell ref="C11:C12"/>
    <mergeCell ref="F11:F12"/>
    <mergeCell ref="B7:B12"/>
    <mergeCell ref="C7:C8"/>
    <mergeCell ref="F7:F8"/>
    <mergeCell ref="C9:C10"/>
    <mergeCell ref="F9:F10"/>
  </mergeCells>
  <pageMargins left="0.28000000000000003" right="0.36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6"/>
  <sheetViews>
    <sheetView topLeftCell="A4" workbookViewId="0">
      <selection activeCell="C7" sqref="C7"/>
    </sheetView>
  </sheetViews>
  <sheetFormatPr baseColWidth="10" defaultRowHeight="15"/>
  <sheetData>
    <row r="3" spans="2:9">
      <c r="B3" s="84" t="s">
        <v>15</v>
      </c>
      <c r="C3" s="84"/>
      <c r="D3" s="84"/>
      <c r="E3" s="84"/>
      <c r="F3" s="84"/>
      <c r="G3" s="84"/>
      <c r="H3" s="84"/>
      <c r="I3" s="84"/>
    </row>
    <row r="4" spans="2:9" ht="6" customHeight="1" thickBot="1"/>
    <row r="5" spans="2:9">
      <c r="B5" s="88" t="s">
        <v>13</v>
      </c>
      <c r="C5" s="85" t="s">
        <v>0</v>
      </c>
      <c r="D5" s="86"/>
      <c r="E5" s="86"/>
      <c r="F5" s="87"/>
      <c r="G5" s="7" t="s">
        <v>1</v>
      </c>
      <c r="H5" s="7" t="s">
        <v>2</v>
      </c>
      <c r="I5" s="90" t="s">
        <v>14</v>
      </c>
    </row>
    <row r="6" spans="2:9" ht="15.75" thickBot="1">
      <c r="B6" s="89"/>
      <c r="C6" s="4" t="s">
        <v>9</v>
      </c>
      <c r="D6" s="5" t="s">
        <v>10</v>
      </c>
      <c r="E6" s="10" t="s">
        <v>11</v>
      </c>
      <c r="F6" s="9" t="s">
        <v>16</v>
      </c>
      <c r="G6" s="6" t="s">
        <v>10</v>
      </c>
      <c r="H6" s="6" t="s">
        <v>12</v>
      </c>
      <c r="I6" s="91"/>
    </row>
    <row r="7" spans="2:9">
      <c r="B7" s="1" t="s">
        <v>3</v>
      </c>
      <c r="C7" s="11">
        <v>5374</v>
      </c>
      <c r="D7" s="12">
        <v>17312</v>
      </c>
      <c r="E7" s="12">
        <v>80546</v>
      </c>
      <c r="F7" s="13">
        <f>+C7+D7+E7</f>
        <v>103232</v>
      </c>
      <c r="G7" s="14">
        <v>3383</v>
      </c>
      <c r="H7" s="14">
        <v>2500</v>
      </c>
      <c r="I7" s="27">
        <f>+F7+G7+H7</f>
        <v>109115</v>
      </c>
    </row>
    <row r="8" spans="2:9">
      <c r="B8" s="2" t="s">
        <v>4</v>
      </c>
      <c r="C8" s="15">
        <v>5374</v>
      </c>
      <c r="D8" s="16">
        <v>23996</v>
      </c>
      <c r="E8" s="16">
        <v>81164</v>
      </c>
      <c r="F8" s="17">
        <f>+C8+D8+E8</f>
        <v>110534</v>
      </c>
      <c r="G8" s="18">
        <v>3383</v>
      </c>
      <c r="H8" s="18">
        <v>2575</v>
      </c>
      <c r="I8" s="28">
        <f>+F8+G8+H8</f>
        <v>116492</v>
      </c>
    </row>
    <row r="9" spans="2:9">
      <c r="B9" s="2" t="s">
        <v>5</v>
      </c>
      <c r="C9" s="15">
        <v>5374</v>
      </c>
      <c r="D9" s="16">
        <v>17368</v>
      </c>
      <c r="E9" s="16">
        <v>81021</v>
      </c>
      <c r="F9" s="17">
        <f>+C9+D9+E9</f>
        <v>103763</v>
      </c>
      <c r="G9" s="18">
        <v>3383</v>
      </c>
      <c r="H9" s="18">
        <v>2575</v>
      </c>
      <c r="I9" s="28">
        <f t="shared" ref="I9:I11" si="0">+F9+G9+H9</f>
        <v>109721</v>
      </c>
    </row>
    <row r="10" spans="2:9">
      <c r="B10" s="2" t="s">
        <v>6</v>
      </c>
      <c r="C10" s="15">
        <v>5374</v>
      </c>
      <c r="D10" s="16">
        <v>16927</v>
      </c>
      <c r="E10" s="16">
        <v>70182</v>
      </c>
      <c r="F10" s="17">
        <f t="shared" ref="F10:F11" si="1">+C10+D10+E10</f>
        <v>92483</v>
      </c>
      <c r="G10" s="18">
        <v>3383</v>
      </c>
      <c r="H10" s="18">
        <v>2575</v>
      </c>
      <c r="I10" s="28">
        <f t="shared" si="0"/>
        <v>98441</v>
      </c>
    </row>
    <row r="11" spans="2:9">
      <c r="B11" s="2" t="s">
        <v>7</v>
      </c>
      <c r="C11" s="15">
        <v>5374</v>
      </c>
      <c r="D11" s="16">
        <v>20310</v>
      </c>
      <c r="E11" s="16">
        <v>83067</v>
      </c>
      <c r="F11" s="17">
        <f t="shared" si="1"/>
        <v>108751</v>
      </c>
      <c r="G11" s="18">
        <v>5320</v>
      </c>
      <c r="H11" s="18">
        <v>2575</v>
      </c>
      <c r="I11" s="28">
        <f t="shared" si="0"/>
        <v>116646</v>
      </c>
    </row>
    <row r="12" spans="2:9" ht="15.75" thickBot="1">
      <c r="B12" s="3" t="s">
        <v>8</v>
      </c>
      <c r="C12" s="19">
        <v>5374</v>
      </c>
      <c r="D12" s="20">
        <v>20310</v>
      </c>
      <c r="E12" s="20">
        <v>76592</v>
      </c>
      <c r="F12" s="21">
        <f>+C12+D12+E12</f>
        <v>102276</v>
      </c>
      <c r="G12" s="22">
        <v>3383</v>
      </c>
      <c r="H12" s="22">
        <v>2575</v>
      </c>
      <c r="I12" s="29">
        <f>+F12+G12+H12</f>
        <v>108234</v>
      </c>
    </row>
    <row r="13" spans="2:9" ht="15.75" thickBot="1">
      <c r="B13" s="30" t="s">
        <v>14</v>
      </c>
      <c r="C13" s="23">
        <f>SUM(C7:C12)</f>
        <v>32244</v>
      </c>
      <c r="D13" s="24">
        <f>SUM(D7:D12)</f>
        <v>116223</v>
      </c>
      <c r="E13" s="24">
        <f>SUM(E7:E12)</f>
        <v>472572</v>
      </c>
      <c r="F13" s="25">
        <f>+F7+F8+F9+F10+F11+F12</f>
        <v>621039</v>
      </c>
      <c r="G13" s="26">
        <f>SUM(G7:G12)</f>
        <v>22235</v>
      </c>
      <c r="H13" s="26">
        <f>SUM(H7:H12)</f>
        <v>15375</v>
      </c>
      <c r="I13" s="26">
        <f>+F13+G13+H13</f>
        <v>658649</v>
      </c>
    </row>
    <row r="14" spans="2:9">
      <c r="G14" s="8"/>
    </row>
    <row r="16" spans="2:9">
      <c r="B16" s="84" t="s">
        <v>17</v>
      </c>
      <c r="C16" s="84"/>
      <c r="D16" s="84"/>
      <c r="E16" s="84"/>
      <c r="F16" s="84"/>
      <c r="G16" s="84"/>
      <c r="H16" s="84"/>
      <c r="I16" s="84"/>
    </row>
    <row r="17" spans="2:9" ht="7.5" customHeight="1" thickBot="1"/>
    <row r="18" spans="2:9">
      <c r="B18" s="88" t="s">
        <v>13</v>
      </c>
      <c r="C18" s="85" t="s">
        <v>0</v>
      </c>
      <c r="D18" s="86"/>
      <c r="E18" s="86"/>
      <c r="F18" s="87"/>
      <c r="G18" s="7" t="s">
        <v>1</v>
      </c>
      <c r="H18" s="7" t="s">
        <v>2</v>
      </c>
      <c r="I18" s="90" t="s">
        <v>14</v>
      </c>
    </row>
    <row r="19" spans="2:9" ht="15.75" thickBot="1">
      <c r="B19" s="89"/>
      <c r="C19" s="4" t="s">
        <v>9</v>
      </c>
      <c r="D19" s="5" t="s">
        <v>10</v>
      </c>
      <c r="E19" s="10" t="s">
        <v>11</v>
      </c>
      <c r="F19" s="9" t="s">
        <v>16</v>
      </c>
      <c r="G19" s="6" t="s">
        <v>10</v>
      </c>
      <c r="H19" s="6" t="s">
        <v>12</v>
      </c>
      <c r="I19" s="91"/>
    </row>
    <row r="20" spans="2:9">
      <c r="B20" s="1" t="s">
        <v>3</v>
      </c>
      <c r="C20" s="11"/>
      <c r="D20" s="12"/>
      <c r="E20" s="12"/>
      <c r="F20" s="13">
        <v>614363</v>
      </c>
      <c r="G20" s="14">
        <v>84791</v>
      </c>
      <c r="H20" s="14">
        <v>19471</v>
      </c>
      <c r="I20" s="27">
        <f>+F20+G20+H20</f>
        <v>718625</v>
      </c>
    </row>
    <row r="21" spans="2:9">
      <c r="B21" s="2" t="s">
        <v>4</v>
      </c>
      <c r="C21" s="15"/>
      <c r="D21" s="16"/>
      <c r="E21" s="16"/>
      <c r="F21" s="17">
        <v>619897</v>
      </c>
      <c r="G21" s="18">
        <v>87936</v>
      </c>
      <c r="H21" s="18">
        <v>20915</v>
      </c>
      <c r="I21" s="28">
        <f>+F21+G21+H21</f>
        <v>728748</v>
      </c>
    </row>
    <row r="22" spans="2:9">
      <c r="B22" s="2" t="s">
        <v>5</v>
      </c>
      <c r="C22" s="15"/>
      <c r="D22" s="16"/>
      <c r="E22" s="16"/>
      <c r="F22" s="17">
        <v>628314</v>
      </c>
      <c r="G22" s="18">
        <v>84783</v>
      </c>
      <c r="H22" s="18">
        <v>21160</v>
      </c>
      <c r="I22" s="28">
        <f t="shared" ref="I22:I24" si="2">+F22+G22+H22</f>
        <v>734257</v>
      </c>
    </row>
    <row r="23" spans="2:9">
      <c r="B23" s="2" t="s">
        <v>6</v>
      </c>
      <c r="C23" s="15"/>
      <c r="D23" s="16"/>
      <c r="E23" s="16"/>
      <c r="F23" s="17">
        <v>548231</v>
      </c>
      <c r="G23" s="18">
        <v>83472</v>
      </c>
      <c r="H23" s="18">
        <v>17973</v>
      </c>
      <c r="I23" s="28">
        <f t="shared" si="2"/>
        <v>649676</v>
      </c>
    </row>
    <row r="24" spans="2:9">
      <c r="B24" s="2" t="s">
        <v>7</v>
      </c>
      <c r="C24" s="15"/>
      <c r="D24" s="16"/>
      <c r="E24" s="16"/>
      <c r="F24" s="17">
        <v>577261</v>
      </c>
      <c r="G24" s="18">
        <v>128041</v>
      </c>
      <c r="H24" s="18">
        <v>20688</v>
      </c>
      <c r="I24" s="28">
        <f t="shared" si="2"/>
        <v>725990</v>
      </c>
    </row>
    <row r="25" spans="2:9" ht="15.75" thickBot="1">
      <c r="B25" s="3" t="s">
        <v>8</v>
      </c>
      <c r="C25" s="19"/>
      <c r="D25" s="20"/>
      <c r="E25" s="20"/>
      <c r="F25" s="21">
        <v>574344</v>
      </c>
      <c r="G25" s="22">
        <v>84133</v>
      </c>
      <c r="H25" s="22">
        <v>18039</v>
      </c>
      <c r="I25" s="29">
        <f>+F25+G25+H25</f>
        <v>676516</v>
      </c>
    </row>
    <row r="26" spans="2:9" ht="15.75" thickBot="1">
      <c r="B26" s="30" t="s">
        <v>14</v>
      </c>
      <c r="C26" s="23">
        <f>SUM(C20:C25)</f>
        <v>0</v>
      </c>
      <c r="D26" s="24">
        <f>SUM(D20:D25)</f>
        <v>0</v>
      </c>
      <c r="E26" s="24">
        <f>SUM(E20:E25)</f>
        <v>0</v>
      </c>
      <c r="F26" s="25">
        <f>+F20+F21+F22+F23+F24+F25</f>
        <v>3562410</v>
      </c>
      <c r="G26" s="26">
        <f>SUM(G20:G25)</f>
        <v>553156</v>
      </c>
      <c r="H26" s="26">
        <f>SUM(H20:H25)</f>
        <v>118246</v>
      </c>
      <c r="I26" s="26">
        <f>+F26+G26+H26</f>
        <v>4233812</v>
      </c>
    </row>
    <row r="32" spans="2:9">
      <c r="C32">
        <v>129863</v>
      </c>
      <c r="D32">
        <v>8211</v>
      </c>
      <c r="E32">
        <v>16566</v>
      </c>
      <c r="G32">
        <v>2865</v>
      </c>
    </row>
    <row r="33" spans="3:8">
      <c r="C33">
        <v>131360</v>
      </c>
      <c r="D33">
        <v>27430</v>
      </c>
      <c r="E33">
        <v>20409</v>
      </c>
      <c r="G33">
        <v>33076</v>
      </c>
    </row>
    <row r="34" spans="3:8">
      <c r="C34">
        <v>81100</v>
      </c>
      <c r="D34">
        <v>178586</v>
      </c>
    </row>
    <row r="35" spans="3:8">
      <c r="D35">
        <v>4330</v>
      </c>
      <c r="H35">
        <f>SUM(C32:G35)</f>
        <v>633796</v>
      </c>
    </row>
    <row r="36" spans="3:8">
      <c r="H36">
        <f>574344+49261</f>
        <v>623605</v>
      </c>
    </row>
  </sheetData>
  <mergeCells count="8">
    <mergeCell ref="B3:I3"/>
    <mergeCell ref="C5:F5"/>
    <mergeCell ref="B16:I16"/>
    <mergeCell ref="B18:B19"/>
    <mergeCell ref="C18:F18"/>
    <mergeCell ref="I18:I19"/>
    <mergeCell ref="B5:B6"/>
    <mergeCell ref="I5:I6"/>
  </mergeCells>
  <pageMargins left="0.7" right="0.7" top="0.75" bottom="0.75" header="0.3" footer="0.3"/>
  <pageSetup orientation="portrait" horizontalDpi="0" verticalDpi="0" r:id="rId1"/>
  <ignoredErrors>
    <ignoredError sqref="F26 F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3:I36"/>
  <sheetViews>
    <sheetView workbookViewId="0">
      <selection activeCell="C7" sqref="C7"/>
    </sheetView>
  </sheetViews>
  <sheetFormatPr baseColWidth="10" defaultRowHeight="15"/>
  <sheetData>
    <row r="3" spans="2:9">
      <c r="B3" s="84" t="s">
        <v>15</v>
      </c>
      <c r="C3" s="84"/>
      <c r="D3" s="84"/>
      <c r="E3" s="84"/>
      <c r="F3" s="84"/>
      <c r="G3" s="84"/>
      <c r="H3" s="84"/>
      <c r="I3" s="84"/>
    </row>
    <row r="4" spans="2:9" ht="6" customHeight="1" thickBot="1"/>
    <row r="5" spans="2:9">
      <c r="B5" s="88" t="s">
        <v>13</v>
      </c>
      <c r="C5" s="85" t="s">
        <v>0</v>
      </c>
      <c r="D5" s="86"/>
      <c r="E5" s="86"/>
      <c r="F5" s="87"/>
      <c r="G5" s="7" t="s">
        <v>1</v>
      </c>
      <c r="H5" s="7" t="s">
        <v>2</v>
      </c>
      <c r="I5" s="90" t="s">
        <v>14</v>
      </c>
    </row>
    <row r="6" spans="2:9" ht="15.75" thickBot="1">
      <c r="B6" s="89"/>
      <c r="C6" s="4" t="s">
        <v>9</v>
      </c>
      <c r="D6" s="5" t="s">
        <v>10</v>
      </c>
      <c r="E6" s="10" t="s">
        <v>11</v>
      </c>
      <c r="F6" s="9" t="s">
        <v>16</v>
      </c>
      <c r="G6" s="6" t="s">
        <v>10</v>
      </c>
      <c r="H6" s="6" t="s">
        <v>12</v>
      </c>
      <c r="I6" s="91"/>
    </row>
    <row r="7" spans="2:9">
      <c r="B7" s="1" t="s">
        <v>3</v>
      </c>
      <c r="C7" s="39">
        <f t="shared" ref="C7:C12" si="0">5374+484</f>
        <v>5858</v>
      </c>
      <c r="D7" s="40">
        <f>17312+1558</f>
        <v>18870</v>
      </c>
      <c r="E7" s="40">
        <f>80546+7197</f>
        <v>87743</v>
      </c>
      <c r="F7" s="41">
        <f>+C7+D7+E7</f>
        <v>112471</v>
      </c>
      <c r="G7" s="14">
        <v>3383</v>
      </c>
      <c r="H7" s="42">
        <f>2500+225</f>
        <v>2725</v>
      </c>
      <c r="I7" s="27">
        <f>+F7+G7+H7</f>
        <v>118579</v>
      </c>
    </row>
    <row r="8" spans="2:9">
      <c r="B8" s="2" t="s">
        <v>4</v>
      </c>
      <c r="C8" s="35">
        <f t="shared" si="0"/>
        <v>5858</v>
      </c>
      <c r="D8" s="36">
        <f>23996+2120</f>
        <v>26116</v>
      </c>
      <c r="E8" s="36">
        <f>81164+7245</f>
        <v>88409</v>
      </c>
      <c r="F8" s="37">
        <f>+C8+D8+E8</f>
        <v>120383</v>
      </c>
      <c r="G8" s="18">
        <v>3383</v>
      </c>
      <c r="H8" s="38">
        <f>2575+232</f>
        <v>2807</v>
      </c>
      <c r="I8" s="28">
        <f>+F8+G8+H8</f>
        <v>126573</v>
      </c>
    </row>
    <row r="9" spans="2:9">
      <c r="B9" s="2" t="s">
        <v>5</v>
      </c>
      <c r="C9" s="35">
        <f t="shared" si="0"/>
        <v>5858</v>
      </c>
      <c r="D9" s="36">
        <f>17368+1563</f>
        <v>18931</v>
      </c>
      <c r="E9" s="36">
        <f>81021+7232</f>
        <v>88253</v>
      </c>
      <c r="F9" s="37">
        <f>+C9+D9+E9</f>
        <v>113042</v>
      </c>
      <c r="G9" s="18">
        <v>3383</v>
      </c>
      <c r="H9" s="38">
        <f>2575+232</f>
        <v>2807</v>
      </c>
      <c r="I9" s="28">
        <f t="shared" ref="I9:I11" si="1">+F9+G9+H9</f>
        <v>119232</v>
      </c>
    </row>
    <row r="10" spans="2:9">
      <c r="B10" s="2" t="s">
        <v>6</v>
      </c>
      <c r="C10" s="35">
        <f t="shared" si="0"/>
        <v>5858</v>
      </c>
      <c r="D10" s="36">
        <f>16927+1523</f>
        <v>18450</v>
      </c>
      <c r="E10" s="36">
        <f>70182+6316</f>
        <v>76498</v>
      </c>
      <c r="F10" s="37">
        <f t="shared" ref="F10:F11" si="2">+C10+D10+E10</f>
        <v>100806</v>
      </c>
      <c r="G10" s="18">
        <v>3383</v>
      </c>
      <c r="H10" s="38">
        <f>2575+232</f>
        <v>2807</v>
      </c>
      <c r="I10" s="28">
        <f t="shared" si="1"/>
        <v>106996</v>
      </c>
    </row>
    <row r="11" spans="2:9">
      <c r="B11" s="2" t="s">
        <v>7</v>
      </c>
      <c r="C11" s="35">
        <f t="shared" si="0"/>
        <v>5858</v>
      </c>
      <c r="D11" s="36">
        <f>20310+1828</f>
        <v>22138</v>
      </c>
      <c r="E11" s="36">
        <f>83067+7476</f>
        <v>90543</v>
      </c>
      <c r="F11" s="37">
        <f t="shared" si="2"/>
        <v>118539</v>
      </c>
      <c r="G11" s="18">
        <v>5320</v>
      </c>
      <c r="H11" s="38">
        <f>2575+232</f>
        <v>2807</v>
      </c>
      <c r="I11" s="28">
        <f t="shared" si="1"/>
        <v>126666</v>
      </c>
    </row>
    <row r="12" spans="2:9" ht="15.75" thickBot="1">
      <c r="B12" s="3" t="s">
        <v>8</v>
      </c>
      <c r="C12" s="32">
        <f t="shared" si="0"/>
        <v>5858</v>
      </c>
      <c r="D12" s="33">
        <f>20310+1827</f>
        <v>22137</v>
      </c>
      <c r="E12" s="33">
        <f>76592+6893</f>
        <v>83485</v>
      </c>
      <c r="F12" s="31">
        <f>+C12+D12+E12</f>
        <v>111480</v>
      </c>
      <c r="G12" s="22">
        <v>3383</v>
      </c>
      <c r="H12" s="34">
        <f>2575+232</f>
        <v>2807</v>
      </c>
      <c r="I12" s="29">
        <f>+F12+G12+H12</f>
        <v>117670</v>
      </c>
    </row>
    <row r="13" spans="2:9" ht="15.75" thickBot="1">
      <c r="B13" s="30" t="s">
        <v>14</v>
      </c>
      <c r="C13" s="23">
        <f>SUM(C7:C12)</f>
        <v>35148</v>
      </c>
      <c r="D13" s="24">
        <f>SUM(D7:D12)</f>
        <v>126642</v>
      </c>
      <c r="E13" s="24">
        <f>SUM(E7:E12)</f>
        <v>514931</v>
      </c>
      <c r="F13" s="25">
        <f>+F7+F8+F9+F10+F11+F12</f>
        <v>676721</v>
      </c>
      <c r="G13" s="26">
        <f>SUM(G7:G12)</f>
        <v>22235</v>
      </c>
      <c r="H13" s="26">
        <f>SUM(H7:H12)</f>
        <v>16760</v>
      </c>
      <c r="I13" s="26">
        <f>+F13+G13+H13</f>
        <v>715716</v>
      </c>
    </row>
    <row r="14" spans="2:9">
      <c r="G14" s="8"/>
    </row>
    <row r="16" spans="2:9">
      <c r="B16" s="84" t="s">
        <v>17</v>
      </c>
      <c r="C16" s="84"/>
      <c r="D16" s="84"/>
      <c r="E16" s="84"/>
      <c r="F16" s="84"/>
      <c r="G16" s="84"/>
      <c r="H16" s="84"/>
      <c r="I16" s="84"/>
    </row>
    <row r="17" spans="2:9" ht="15.75" thickBot="1"/>
    <row r="18" spans="2:9">
      <c r="B18" s="88" t="s">
        <v>13</v>
      </c>
      <c r="C18" s="85" t="s">
        <v>0</v>
      </c>
      <c r="D18" s="86"/>
      <c r="E18" s="86"/>
      <c r="F18" s="87"/>
      <c r="G18" s="7" t="s">
        <v>1</v>
      </c>
      <c r="H18" s="7" t="s">
        <v>2</v>
      </c>
      <c r="I18" s="90" t="s">
        <v>14</v>
      </c>
    </row>
    <row r="19" spans="2:9" ht="15.75" thickBot="1">
      <c r="B19" s="89"/>
      <c r="C19" s="4" t="s">
        <v>9</v>
      </c>
      <c r="D19" s="5" t="s">
        <v>10</v>
      </c>
      <c r="E19" s="10" t="s">
        <v>11</v>
      </c>
      <c r="F19" s="9" t="s">
        <v>16</v>
      </c>
      <c r="G19" s="6" t="s">
        <v>10</v>
      </c>
      <c r="H19" s="6" t="s">
        <v>12</v>
      </c>
      <c r="I19" s="91"/>
    </row>
    <row r="20" spans="2:9">
      <c r="B20" s="1" t="s">
        <v>3</v>
      </c>
      <c r="C20" s="11"/>
      <c r="D20" s="12"/>
      <c r="E20" s="41">
        <f>614363+54679</f>
        <v>669042</v>
      </c>
      <c r="F20" s="41">
        <f>+C20+D20+E20</f>
        <v>669042</v>
      </c>
      <c r="G20" s="14">
        <v>84791</v>
      </c>
      <c r="H20" s="42">
        <f>19471+1735</f>
        <v>21206</v>
      </c>
      <c r="I20" s="27">
        <f>+F20+G20+H20</f>
        <v>775039</v>
      </c>
    </row>
    <row r="21" spans="2:9">
      <c r="B21" s="2" t="s">
        <v>4</v>
      </c>
      <c r="C21" s="15"/>
      <c r="D21" s="16"/>
      <c r="E21" s="37">
        <f>619897+55241</f>
        <v>675138</v>
      </c>
      <c r="F21" s="37">
        <f>+C21+D21+E21</f>
        <v>675138</v>
      </c>
      <c r="G21" s="18">
        <v>87936</v>
      </c>
      <c r="H21" s="38">
        <f>20915+1862</f>
        <v>22777</v>
      </c>
      <c r="I21" s="28">
        <f>+F21+G21+H21</f>
        <v>785851</v>
      </c>
    </row>
    <row r="22" spans="2:9">
      <c r="B22" s="2" t="s">
        <v>5</v>
      </c>
      <c r="C22" s="15"/>
      <c r="D22" s="16"/>
      <c r="E22" s="37">
        <f>628314+55875</f>
        <v>684189</v>
      </c>
      <c r="F22" s="37">
        <f>+C22+D22+E22</f>
        <v>684189</v>
      </c>
      <c r="G22" s="18">
        <v>84783</v>
      </c>
      <c r="H22" s="38">
        <f>21160+1884</f>
        <v>23044</v>
      </c>
      <c r="I22" s="28">
        <f t="shared" ref="I22:I24" si="3">+F22+G22+H22</f>
        <v>792016</v>
      </c>
    </row>
    <row r="23" spans="2:9">
      <c r="B23" s="2" t="s">
        <v>6</v>
      </c>
      <c r="C23" s="15"/>
      <c r="D23" s="16"/>
      <c r="E23" s="37">
        <f>548231+49325</f>
        <v>597556</v>
      </c>
      <c r="F23" s="37">
        <f t="shared" ref="F23:F24" si="4">+C23+D23+E23</f>
        <v>597556</v>
      </c>
      <c r="G23" s="18">
        <v>83472</v>
      </c>
      <c r="H23" s="38">
        <f>17973+1598</f>
        <v>19571</v>
      </c>
      <c r="I23" s="28">
        <f t="shared" si="3"/>
        <v>700599</v>
      </c>
    </row>
    <row r="24" spans="2:9">
      <c r="B24" s="2" t="s">
        <v>7</v>
      </c>
      <c r="C24" s="15"/>
      <c r="D24" s="16"/>
      <c r="E24" s="37">
        <f>577261+51953</f>
        <v>629214</v>
      </c>
      <c r="F24" s="37">
        <f t="shared" si="4"/>
        <v>629214</v>
      </c>
      <c r="G24" s="18">
        <v>128041</v>
      </c>
      <c r="H24" s="38">
        <f>20688+1862</f>
        <v>22550</v>
      </c>
      <c r="I24" s="28">
        <f t="shared" si="3"/>
        <v>779805</v>
      </c>
    </row>
    <row r="25" spans="2:9" ht="15.75" thickBot="1">
      <c r="B25" s="3" t="s">
        <v>8</v>
      </c>
      <c r="C25" s="19"/>
      <c r="D25" s="20"/>
      <c r="E25" s="31">
        <f>574344+49261</f>
        <v>623605</v>
      </c>
      <c r="F25" s="31">
        <f>+C25+D25+E25</f>
        <v>623605</v>
      </c>
      <c r="G25" s="22">
        <v>84133</v>
      </c>
      <c r="H25" s="34">
        <f>18039+1623</f>
        <v>19662</v>
      </c>
      <c r="I25" s="29">
        <f>+F25+G25+H25</f>
        <v>727400</v>
      </c>
    </row>
    <row r="26" spans="2:9" ht="15.75" thickBot="1">
      <c r="B26" s="30" t="s">
        <v>14</v>
      </c>
      <c r="C26" s="23">
        <f>SUM(C20:C25)</f>
        <v>0</v>
      </c>
      <c r="D26" s="24">
        <f>SUM(D20:D25)</f>
        <v>0</v>
      </c>
      <c r="E26" s="24">
        <f>SUM(E20:E25)</f>
        <v>3878744</v>
      </c>
      <c r="F26" s="25">
        <f>+F20+F21+F22+F23+F24+F25</f>
        <v>3878744</v>
      </c>
      <c r="G26" s="26">
        <f>SUM(G20:G25)</f>
        <v>553156</v>
      </c>
      <c r="H26" s="26">
        <f>SUM(H20:H25)</f>
        <v>128810</v>
      </c>
      <c r="I26" s="26">
        <f>+F26+G26+H26</f>
        <v>4560710</v>
      </c>
    </row>
    <row r="27" spans="2:9">
      <c r="F27" s="43">
        <f>++F26+[1]Iquitos!$AA$572+[1]Iquitos!$AA$573+[1]Iquitos!$AA$578+[1]Iquitos!$AA$579</f>
        <v>4445278.5599999996</v>
      </c>
    </row>
    <row r="32" spans="2:9">
      <c r="C32">
        <v>129863</v>
      </c>
      <c r="D32">
        <v>8211</v>
      </c>
      <c r="E32">
        <v>16566</v>
      </c>
      <c r="G32">
        <v>2865</v>
      </c>
    </row>
    <row r="33" spans="3:8">
      <c r="C33">
        <v>131360</v>
      </c>
      <c r="D33">
        <v>27430</v>
      </c>
      <c r="E33">
        <v>20409</v>
      </c>
      <c r="G33">
        <v>33076</v>
      </c>
    </row>
    <row r="34" spans="3:8">
      <c r="C34">
        <v>81100</v>
      </c>
      <c r="D34">
        <v>178586</v>
      </c>
    </row>
    <row r="35" spans="3:8">
      <c r="D35">
        <v>4330</v>
      </c>
      <c r="H35">
        <f>SUM(C32:G35)</f>
        <v>633796</v>
      </c>
    </row>
    <row r="36" spans="3:8">
      <c r="H36">
        <f>574344+49261</f>
        <v>623605</v>
      </c>
    </row>
  </sheetData>
  <mergeCells count="8">
    <mergeCell ref="B18:B19"/>
    <mergeCell ref="C18:F18"/>
    <mergeCell ref="I18:I19"/>
    <mergeCell ref="B3:I3"/>
    <mergeCell ref="B5:B6"/>
    <mergeCell ref="C5:F5"/>
    <mergeCell ref="I5:I6"/>
    <mergeCell ref="B16:I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2014-08-19T14:04:41Z</cp:lastPrinted>
  <dcterms:created xsi:type="dcterms:W3CDTF">2014-08-01T13:40:33Z</dcterms:created>
  <dcterms:modified xsi:type="dcterms:W3CDTF">2014-08-21T13:22:24Z</dcterms:modified>
</cp:coreProperties>
</file>